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1730" tabRatio="869" firstSheet="2" activeTab="4"/>
  </bookViews>
  <sheets>
    <sheet name="Plan2" sheetId="2" state="hidden" r:id="rId1"/>
    <sheet name="Plan3" sheetId="3" state="hidden" r:id="rId2"/>
    <sheet name="Consolidação" sheetId="71" r:id="rId3"/>
    <sheet name="Auxiliar de Lavanderia" sheetId="67" r:id="rId4"/>
    <sheet name="Costureira " sheetId="68" r:id="rId5"/>
    <sheet name="Uniformes " sheetId="70" r:id="rId6"/>
    <sheet name="Materiais" sheetId="65" r:id="rId7"/>
    <sheet name="Equipamentos" sheetId="66" r:id="rId8"/>
  </sheets>
  <definedNames>
    <definedName name="_xlnm.Print_Area" localSheetId="3">'Auxiliar de Lavanderia'!$A$1:$E$112</definedName>
    <definedName name="_xlnm.Print_Area" localSheetId="4">'Costureira '!$A$1:$E$112</definedName>
    <definedName name="_xlnm.Print_Area" localSheetId="7">Equipamentos!$A$1:$I$20</definedName>
    <definedName name="_xlnm.Print_Area" localSheetId="6">Materiais!$A$1:$H$9</definedName>
    <definedName name="_xlnm.Print_Area" localSheetId="5">'Uniformes '!$A$1:$H$18</definedName>
    <definedName name="_xlnm.Print_Titles" localSheetId="3">'Auxiliar de Lavanderia'!$1:$1</definedName>
    <definedName name="_xlnm.Print_Titles" localSheetId="4">'Costureira '!$1:$1</definedName>
  </definedNames>
  <calcPr calcId="124519" fullPrecision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66"/>
  <c r="I20" l="1"/>
  <c r="H19"/>
  <c r="I19"/>
  <c r="I18"/>
  <c r="I17"/>
  <c r="I16"/>
  <c r="I15"/>
  <c r="I14"/>
  <c r="I13"/>
  <c r="I12"/>
  <c r="I11"/>
  <c r="I10"/>
  <c r="I9"/>
  <c r="I8"/>
  <c r="I7"/>
  <c r="I6"/>
  <c r="I5"/>
  <c r="I4"/>
  <c r="H18"/>
  <c r="H17"/>
  <c r="H16"/>
  <c r="H15"/>
  <c r="H14"/>
  <c r="H13"/>
  <c r="H12"/>
  <c r="H11"/>
  <c r="H10"/>
  <c r="H9"/>
  <c r="H8"/>
  <c r="H7"/>
  <c r="H6"/>
  <c r="H5"/>
  <c r="H4"/>
  <c r="H3"/>
  <c r="H9" i="65"/>
  <c r="H8"/>
  <c r="G8"/>
  <c r="H7"/>
  <c r="H6"/>
  <c r="H5"/>
  <c r="H4"/>
  <c r="H3"/>
  <c r="G7"/>
  <c r="G6"/>
  <c r="G5"/>
  <c r="G4"/>
  <c r="G3"/>
  <c r="H9" i="70"/>
  <c r="H8"/>
  <c r="H7"/>
  <c r="H6"/>
  <c r="H5"/>
  <c r="G8"/>
  <c r="G7"/>
  <c r="G6"/>
  <c r="G5"/>
  <c r="E11" i="71" l="1"/>
  <c r="E20" i="67"/>
  <c r="F4" i="65"/>
  <c r="D102" i="68" l="1"/>
  <c r="D98"/>
  <c r="D97"/>
  <c r="D65"/>
  <c r="E45"/>
  <c r="E20"/>
  <c r="D98" i="67"/>
  <c r="D97"/>
  <c r="D102" s="1"/>
  <c r="D65"/>
  <c r="E45"/>
  <c r="E49" s="1"/>
  <c r="D62" i="68" l="1"/>
  <c r="E18"/>
  <c r="D62" i="67"/>
  <c r="D41"/>
  <c r="E25" i="68" l="1"/>
  <c r="E47"/>
  <c r="E8" i="70" l="1"/>
  <c r="E7"/>
  <c r="E6"/>
  <c r="E5"/>
  <c r="E85" i="68" l="1"/>
  <c r="E85" i="67"/>
  <c r="E87" l="1"/>
  <c r="E87" i="68"/>
  <c r="E86" l="1"/>
  <c r="E86" i="67"/>
  <c r="D95" i="68"/>
  <c r="E80"/>
  <c r="D76"/>
  <c r="D72"/>
  <c r="D79" s="1"/>
  <c r="D81" s="1"/>
  <c r="D41"/>
  <c r="D28"/>
  <c r="D30" s="1"/>
  <c r="D95" i="67"/>
  <c r="E80"/>
  <c r="D76"/>
  <c r="D72"/>
  <c r="D79" s="1"/>
  <c r="D81" s="1"/>
  <c r="D28"/>
  <c r="D30" s="1"/>
  <c r="E18"/>
  <c r="E47" l="1"/>
  <c r="E25"/>
  <c r="C28" s="1"/>
  <c r="E49" i="68"/>
  <c r="E53" s="1"/>
  <c r="E53" i="67"/>
  <c r="C57" i="68"/>
  <c r="E57" s="1"/>
  <c r="E29"/>
  <c r="C58"/>
  <c r="E58" s="1"/>
  <c r="C59"/>
  <c r="E59" s="1"/>
  <c r="C61"/>
  <c r="E61" s="1"/>
  <c r="C28"/>
  <c r="E105"/>
  <c r="C60"/>
  <c r="E60" s="1"/>
  <c r="C29"/>
  <c r="E28"/>
  <c r="C58" i="67"/>
  <c r="E58" s="1"/>
  <c r="E105"/>
  <c r="C60"/>
  <c r="E60" s="1"/>
  <c r="C59" l="1"/>
  <c r="E59" s="1"/>
  <c r="E29"/>
  <c r="C61"/>
  <c r="E61" s="1"/>
  <c r="C57"/>
  <c r="E57" s="1"/>
  <c r="E28"/>
  <c r="C29"/>
  <c r="E62" i="68"/>
  <c r="E107" s="1"/>
  <c r="E30"/>
  <c r="E30" i="67"/>
  <c r="E62" l="1"/>
  <c r="E107" s="1"/>
  <c r="E51" i="68"/>
  <c r="C35"/>
  <c r="E35" s="1"/>
  <c r="C36"/>
  <c r="E36" s="1"/>
  <c r="C38"/>
  <c r="E38" s="1"/>
  <c r="C33"/>
  <c r="E33" s="1"/>
  <c r="C39"/>
  <c r="E39" s="1"/>
  <c r="C37"/>
  <c r="E37" s="1"/>
  <c r="C40"/>
  <c r="E40" s="1"/>
  <c r="C34"/>
  <c r="E34" s="1"/>
  <c r="E51" i="67"/>
  <c r="C40"/>
  <c r="E40" s="1"/>
  <c r="C34"/>
  <c r="E34" s="1"/>
  <c r="C39"/>
  <c r="E39" s="1"/>
  <c r="C38"/>
  <c r="E38" s="1"/>
  <c r="C33"/>
  <c r="E33" s="1"/>
  <c r="C35"/>
  <c r="E35" s="1"/>
  <c r="C36"/>
  <c r="E36" s="1"/>
  <c r="C37"/>
  <c r="E37" s="1"/>
  <c r="E41" i="68" l="1"/>
  <c r="E52" s="1"/>
  <c r="E54" s="1"/>
  <c r="C70" s="1"/>
  <c r="E70" s="1"/>
  <c r="E41" i="67"/>
  <c r="E52" s="1"/>
  <c r="E54" s="1"/>
  <c r="C70" s="1"/>
  <c r="E70" s="1"/>
  <c r="E106" i="68" l="1"/>
  <c r="E75"/>
  <c r="E76" s="1"/>
  <c r="E106" i="67"/>
  <c r="E89" i="68" l="1"/>
  <c r="E109" s="1"/>
  <c r="C65"/>
  <c r="E65" s="1"/>
  <c r="C69"/>
  <c r="E69" s="1"/>
  <c r="C66"/>
  <c r="E66" s="1"/>
  <c r="C68"/>
  <c r="E68" s="1"/>
  <c r="C71"/>
  <c r="E71" s="1"/>
  <c r="C67"/>
  <c r="E67" s="1"/>
  <c r="E72" l="1"/>
  <c r="E89" i="67"/>
  <c r="C71"/>
  <c r="E71" s="1"/>
  <c r="C68"/>
  <c r="E68" s="1"/>
  <c r="C69"/>
  <c r="E69" s="1"/>
  <c r="C67"/>
  <c r="E67" s="1"/>
  <c r="C65"/>
  <c r="E65" s="1"/>
  <c r="E75"/>
  <c r="E76" s="1"/>
  <c r="C66"/>
  <c r="E66" s="1"/>
  <c r="E82" i="68" l="1"/>
  <c r="E79"/>
  <c r="E81" s="1"/>
  <c r="E72" i="67"/>
  <c r="E82" s="1"/>
  <c r="E108" s="1"/>
  <c r="E109"/>
  <c r="E108" i="68" l="1"/>
  <c r="E110" s="1"/>
  <c r="E90"/>
  <c r="E79" i="67"/>
  <c r="E81" s="1"/>
  <c r="E110"/>
  <c r="E90"/>
  <c r="C93" s="1"/>
  <c r="E93" s="1"/>
  <c r="C94" s="1"/>
  <c r="E94" s="1"/>
  <c r="E95" s="1"/>
  <c r="E96" s="1"/>
  <c r="C93" i="68" l="1"/>
  <c r="E93" s="1"/>
  <c r="C94" s="1"/>
  <c r="E94" s="1"/>
  <c r="E95" s="1"/>
  <c r="E96" s="1"/>
  <c r="C100" i="67"/>
  <c r="E100" s="1"/>
  <c r="C99"/>
  <c r="E99" s="1"/>
  <c r="C101"/>
  <c r="E101" s="1"/>
  <c r="C100" i="68" l="1"/>
  <c r="E100" s="1"/>
  <c r="C101"/>
  <c r="E101" s="1"/>
  <c r="C99"/>
  <c r="E99" s="1"/>
  <c r="E102" i="67"/>
  <c r="E103" s="1"/>
  <c r="E111" s="1"/>
  <c r="E112" s="1"/>
  <c r="E5" i="71" s="1"/>
  <c r="F5" s="1"/>
  <c r="G5" l="1"/>
  <c r="E102" i="68"/>
  <c r="E103" s="1"/>
  <c r="E111" s="1"/>
  <c r="E112" l="1"/>
  <c r="E6" i="71" s="1"/>
  <c r="F6" s="1"/>
  <c r="D13" i="2"/>
  <c r="D12"/>
  <c r="D11"/>
  <c r="D10"/>
  <c r="D9"/>
  <c r="D8"/>
  <c r="G6" i="71" l="1"/>
  <c r="G7" s="1"/>
  <c r="F7"/>
  <c r="C17" s="1"/>
  <c r="F11" l="1"/>
  <c r="C16" s="1"/>
  <c r="G11"/>
  <c r="G12" s="1"/>
  <c r="C18" s="1"/>
</calcChain>
</file>

<file path=xl/sharedStrings.xml><?xml version="1.0" encoding="utf-8"?>
<sst xmlns="http://schemas.openxmlformats.org/spreadsheetml/2006/main" count="627" uniqueCount="314">
  <si>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</si>
  <si>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</si>
  <si>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</si>
  <si>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</si>
  <si>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</si>
  <si>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</si>
  <si>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</si>
  <si>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</si>
  <si>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</si>
  <si>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</si>
  <si>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</si>
  <si>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</si>
  <si>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</si>
  <si>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</si>
  <si>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</si>
  <si>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</si>
  <si>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</si>
  <si>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</si>
  <si>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30% sobre o salário</t>
  </si>
  <si>
    <t>Adicional de Insalubridade</t>
  </si>
  <si>
    <t>Adicional Noturno</t>
  </si>
  <si>
    <t>20% sobre  a hora diurna</t>
  </si>
  <si>
    <t>E</t>
  </si>
  <si>
    <t>H. Extra (+50%) ou H. Normal + 20% de adiconal</t>
  </si>
  <si>
    <t>F</t>
  </si>
  <si>
    <t>G</t>
  </si>
  <si>
    <t>TOTAL DE BENEFÍCIOS MENSAIS E DIÁRIOS</t>
  </si>
  <si>
    <t>Insumos Diversos</t>
  </si>
  <si>
    <t>4.1</t>
  </si>
  <si>
    <t>Encargos previdenciários e FGTS</t>
  </si>
  <si>
    <t>H</t>
  </si>
  <si>
    <t>TOTAL</t>
  </si>
  <si>
    <t>4.2</t>
  </si>
  <si>
    <t>13 º Salário</t>
  </si>
  <si>
    <t>Provisão para Rescisão</t>
  </si>
  <si>
    <t>Aviso prévio indenizado</t>
  </si>
  <si>
    <r>
      <t>Incidência do FGTS sobre aviso prévio indenizado (8%)</t>
    </r>
    <r>
      <rPr>
        <i/>
        <sz val="10"/>
        <color rgb="FF002060"/>
        <rFont val="Calibri"/>
        <family val="2"/>
        <scheme val="minor"/>
      </rPr>
      <t/>
    </r>
  </si>
  <si>
    <t>Aviso prévio trabalhado</t>
  </si>
  <si>
    <t>Custos Indiretos, Tributos e Lucro</t>
  </si>
  <si>
    <t>Custos Indiretos</t>
  </si>
  <si>
    <t>Lucro (MT + M5.A)</t>
  </si>
  <si>
    <t>Tributos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</si>
  <si>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</si>
  <si>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</si>
  <si>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</si>
  <si>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</si>
  <si>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VALOR TOTAL POR EMPREGADO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</si>
  <si>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</si>
  <si>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</si>
  <si>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</si>
  <si>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</si>
  <si>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</si>
  <si>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</si>
  <si>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</si>
  <si>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</si>
  <si>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</si>
  <si>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</si>
  <si>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</si>
  <si>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</si>
  <si>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</si>
  <si>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</si>
  <si>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</si>
  <si>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</si>
  <si>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</si>
  <si>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</si>
  <si>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</si>
  <si>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</si>
  <si>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</si>
  <si>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</si>
  <si>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</si>
  <si>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</si>
  <si>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</si>
  <si>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</si>
  <si>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</si>
  <si>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</si>
  <si>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</si>
  <si>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</si>
  <si>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</si>
  <si>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</si>
  <si>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</si>
  <si>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</si>
  <si>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</si>
  <si>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</si>
  <si>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</si>
  <si>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</si>
  <si>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</si>
  <si>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</si>
  <si>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</si>
  <si>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</si>
  <si>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</si>
  <si>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</si>
  <si>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</si>
  <si>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</si>
  <si>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</si>
  <si>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</si>
  <si>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</si>
  <si>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</si>
  <si>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</si>
  <si>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</si>
  <si>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</si>
  <si>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</si>
  <si>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</si>
  <si>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</si>
  <si>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</si>
  <si>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</si>
  <si>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</si>
  <si>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</si>
  <si>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</si>
  <si>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</si>
  <si>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</si>
  <si>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</si>
  <si>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</si>
  <si>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</si>
  <si>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</si>
  <si>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</si>
  <si>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</si>
  <si>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</si>
  <si>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</si>
  <si>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</si>
  <si>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</si>
  <si>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</si>
  <si>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</si>
  <si>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</si>
  <si>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</si>
  <si>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</si>
  <si>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</si>
  <si>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Tipo de serviço (mesmo serviço com características distintas)</t>
  </si>
  <si>
    <t xml:space="preserve">Assistência médica e familiar </t>
  </si>
  <si>
    <t xml:space="preserve">Auxílio creche </t>
  </si>
  <si>
    <t xml:space="preserve">Seguro de vida </t>
  </si>
  <si>
    <t>Outros</t>
  </si>
  <si>
    <t>INTERVALO INTRAJORNADA</t>
  </si>
  <si>
    <t>DSR INTRAJORNADA</t>
  </si>
  <si>
    <t>ESPECIFICAÇÃO</t>
  </si>
  <si>
    <t>ITEM</t>
  </si>
  <si>
    <t>2.1</t>
  </si>
  <si>
    <t>2.2</t>
  </si>
  <si>
    <t>Transporte</t>
  </si>
  <si>
    <t>13º Salário, Férias e Adicional de Férias</t>
  </si>
  <si>
    <t>GPS, FGTS e outras contribuições</t>
  </si>
  <si>
    <t>Beneficios diários e mensais</t>
  </si>
  <si>
    <t>Módulo 4 – Custo de Reposição do Profissional Ausente</t>
  </si>
  <si>
    <t>Quadro resumo dos beneficios</t>
  </si>
  <si>
    <t>TOTAL DO MÓDULO 1</t>
  </si>
  <si>
    <t>TOTAL DO MÓDULO 2</t>
  </si>
  <si>
    <t>TOTAL DO MÓDULO 3</t>
  </si>
  <si>
    <t>TOTAL DO MÓDULO 4</t>
  </si>
  <si>
    <t>TOTAL DO MÓDULO 5</t>
  </si>
  <si>
    <t>Módulo 3 – Provisão para Rescisão</t>
  </si>
  <si>
    <t>Módulo 5 – Insumos Diversos</t>
  </si>
  <si>
    <t>Módulo 2 – Encargos e Benefícios Anuais, Mensais e Diários</t>
  </si>
  <si>
    <t>Subtotal (A + B +C+ D+E)</t>
  </si>
  <si>
    <t>Módulo 6 – Custos indiretos, tributos e lucro</t>
  </si>
  <si>
    <t>MÓDULO 3 - PROVISÃO PARA RESCISÃO</t>
  </si>
  <si>
    <t>MÓDULO 4 – CUSTO DE REPOSIÇÃO DO PROFISSIONAL AUSENTE</t>
  </si>
  <si>
    <t>MÓDULO 5 - INSUMOS DIVERSOS</t>
  </si>
  <si>
    <t xml:space="preserve">MÓDULO 6 – CUSTOS INDIRETOS, TRIBUTOS E LUCRO </t>
  </si>
  <si>
    <t>Descrição</t>
  </si>
  <si>
    <t>Unidade</t>
  </si>
  <si>
    <t>Valor Unitário</t>
  </si>
  <si>
    <t>TOTAL MENSAL POR SERVENTE</t>
  </si>
  <si>
    <t>Submódulo 2.3 – Beneficios Mensais</t>
  </si>
  <si>
    <t>Multa sobre FGTS e Contribuição Social sobre o Aviso Prévio Indenizado e sobre o Aviso Prévio Trabalhado. (Alterado Conf. Lei nº 13.932/2019)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</si>
  <si>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</si>
  <si>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</si>
  <si>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</si>
  <si>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</si>
  <si>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</si>
  <si>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</si>
  <si>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</si>
  <si>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>Submódulo 4.2 - Intrajornada</t>
  </si>
  <si>
    <t>Intervalo para Repouso ou Alimentação</t>
  </si>
  <si>
    <t>TOTAL DO SUBMÓDULO 4.2</t>
  </si>
  <si>
    <t>BASE DE CÁLCULO</t>
  </si>
  <si>
    <t>Valor Total Anual</t>
  </si>
  <si>
    <t>Valor Total Mensal</t>
  </si>
  <si>
    <t>2.3</t>
  </si>
  <si>
    <t>Equipamentos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</si>
  <si>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de meses de execução contratual</t>
    </r>
  </si>
  <si>
    <t>Adicional de Hora Noturna Reduzida</t>
  </si>
  <si>
    <t>DÉCIMO TERCEIRO SALÁRIO, FÉRIAS E ADICIONAL DE FÉRIAS</t>
  </si>
  <si>
    <t xml:space="preserve">FGTS (8,0%) </t>
  </si>
  <si>
    <t>SEBRAE</t>
  </si>
  <si>
    <t xml:space="preserve">Base de cálculo: De acordo com a instrução normativa nº 05/2017 anexo VII nota 3, a base de cálculo neste módulo deverá ser a soma: MÓDULO 1 + SUBMÓDULO 2.1. </t>
  </si>
  <si>
    <t xml:space="preserve">BENEFÍCIOS MENSAIS E DIÁRIOS </t>
  </si>
  <si>
    <t xml:space="preserve">Auxílio alimentação </t>
  </si>
  <si>
    <t>3.0</t>
  </si>
  <si>
    <t>Submódulo 4.1 - Ausências Legais</t>
  </si>
  <si>
    <t xml:space="preserve"> QUADRO-RESUMO DO MÓDULO 4 - CUSTO DE REPOSIÇÃO DO PROFISSIONAL AUSENTE</t>
  </si>
  <si>
    <t>Módulo 4 – Encargos sociais e trabalhistas</t>
  </si>
  <si>
    <t>Uniformes e EPIs</t>
  </si>
  <si>
    <t>Materiais</t>
  </si>
  <si>
    <t>(M-T)      CUSTO TOTAL DA PLANILHA PARA EFEITO DE CÁLCULO DO MÓDULO 5 (M1+M2+M3+M4+M5)</t>
  </si>
  <si>
    <t>Subtotal  para   efeito  de  cálculo  dos Tributos  (MT + MA + MB) FATURAMENTO [(100-8,65)/100]</t>
  </si>
  <si>
    <t xml:space="preserve">PLANILHA DE CUSTO </t>
  </si>
  <si>
    <t>UNIDADE</t>
  </si>
  <si>
    <t>Item</t>
  </si>
  <si>
    <t>Quantidade Anual</t>
  </si>
  <si>
    <t>Quantidade Mensal</t>
  </si>
  <si>
    <t>VALOR MENSAL DOS SERVIÇOS</t>
  </si>
  <si>
    <t>VALOR TOTAL</t>
  </si>
  <si>
    <t>KG</t>
  </si>
  <si>
    <t xml:space="preserve">INFORMAÇÃO: </t>
  </si>
  <si>
    <t>DESCRIÇÃO</t>
  </si>
  <si>
    <t>Contratação de empresa especializada na Prestação de Serviço de Lavanderia Hospitalar Interna, com disponibilização de equipamentos e demais utensílios, materiais de consumo, realização de manutenção preventiva e corretiva com reposição de peças para atender de forma continuada as necessidades do Hospital Regional de Buritis - HRB, por um período de 12 (doze) meses.</t>
  </si>
  <si>
    <t>QUANTIDADE MÉDIA MENSAL</t>
  </si>
  <si>
    <t>QUANTIDADE MÉDIA ANUAL</t>
  </si>
  <si>
    <t>VALOR UNITÁRIO
(R$)</t>
  </si>
  <si>
    <t xml:space="preserve">VALOR TOTAL
PARA 12 MESES (R$) </t>
  </si>
  <si>
    <t xml:space="preserve">Equipamentos </t>
  </si>
  <si>
    <t>QUANT.
MÌNIMA</t>
  </si>
  <si>
    <t>ATENDER AS NECESSIDADES</t>
  </si>
  <si>
    <t>SETOR</t>
  </si>
  <si>
    <t>Máquina de Costura Industrial tipo Overlock.</t>
  </si>
  <si>
    <t>Máquina de Costura Industrial reta.</t>
  </si>
  <si>
    <t>Mesa de Passar Roupa com Ferro - em aço, com suporte para passar mangas, com aquecimento elétrico do tampo e sucção/aspiração.</t>
  </si>
  <si>
    <t>Mesa de Manipulação - Toda em aço inox med. aprox. 0,90 x 1,80, com duas prateleiras.</t>
  </si>
  <si>
    <t>Seladora automática ou a pedal, com fechamento de no mínimo de 40 cm.</t>
  </si>
  <si>
    <t>Balança Digital com impressora de etiquetagem - Com indicador de peso, displays de led, bandeja de pesagem em aço inox, de fácil higienização, estrutura resistente com perfil baixo, impressora acoplada.</t>
  </si>
  <si>
    <t>Gôndolas Aramadas ou Prateleiras - para armazenagem de roupas limpas, totalizando no mínimo 06 metros de comprimento.</t>
  </si>
  <si>
    <t>Cabideiro de Aço Inoxidável Móvel, fechado nas laterais, inclusos cabides.</t>
  </si>
  <si>
    <t>Carro em material inoxidável para transporte de roupas limpas.</t>
  </si>
  <si>
    <t>Carro para Transporte de Roupas Sujas - com tampa para fechamento.</t>
  </si>
  <si>
    <t>Hamper com armação tubular</t>
  </si>
  <si>
    <t>Dosador de Produto</t>
  </si>
  <si>
    <t>Mesa para máquina de costurar</t>
  </si>
  <si>
    <t>Trole da Lavanderia - De armazenamento e distribuição de enxovais em geral. Material sendo em aço inox, com prateleira e fechado as laterais.</t>
  </si>
  <si>
    <t>Carrinhos em Plástico - Rodas em PVC. Capacidade de 200 litros; com saída de água nas laterais.</t>
  </si>
  <si>
    <t>Carro para Limpeza com suporte para baldes, vassouras e rodos.</t>
  </si>
  <si>
    <t>6 mt</t>
  </si>
  <si>
    <t>Para realizar os reparos nos enxovais em geral</t>
  </si>
  <si>
    <t>Para dar acabamento nos enxovais em geral</t>
  </si>
  <si>
    <t>Para manuseio no processamento de lavagem (separação) e no setor da área limpa para organização, resfriamento de quando sai da secadora e etc.</t>
  </si>
  <si>
    <t>Para embalar e lacrar os enxovais após o processamento</t>
  </si>
  <si>
    <t>Para que possa realizar o armazenamento e organização dos enxovais limpos e embalados</t>
  </si>
  <si>
    <t>A prestadora deverá realizar a pesagem das roupas antes de iniciar o processo de lavagem</t>
  </si>
  <si>
    <t xml:space="preserve">Armazenamento </t>
  </si>
  <si>
    <t>Distribuição dos enxovais limpos nos setores</t>
  </si>
  <si>
    <t>Recolher os enxovais sujos nos setores</t>
  </si>
  <si>
    <t>Para distribuição nos setores da unidade hospitalar</t>
  </si>
  <si>
    <t>Sistema Automático de Dosagem dos produtos</t>
  </si>
  <si>
    <t>Para suporte nos reparos nos enxovais em geral</t>
  </si>
  <si>
    <t>Para que possa realizar a distribuição dos enxovais, nos setores da unidade</t>
  </si>
  <si>
    <t>Para manuseio do processamento das roupas</t>
  </si>
  <si>
    <t xml:space="preserve">Limpeza nos setores </t>
  </si>
  <si>
    <t>Área Limpa</t>
  </si>
  <si>
    <t>Área Limpa/Suja</t>
  </si>
  <si>
    <t>Área Suja</t>
  </si>
  <si>
    <t xml:space="preserve"> HRB</t>
  </si>
  <si>
    <t xml:space="preserve">MATERIAIS DE CONSUMO </t>
  </si>
  <si>
    <r>
      <rPr>
        <b/>
        <sz val="11"/>
        <rFont val="Calibri"/>
        <family val="2"/>
        <scheme val="minor"/>
      </rPr>
      <t>DETERGENTE LÍQUIDO CONCENTRADO</t>
    </r>
    <r>
      <rPr>
        <sz val="11"/>
        <rFont val="Calibri"/>
        <family val="2"/>
        <scheme val="minor"/>
      </rPr>
      <t xml:space="preserve">
- Indicado para lavagens e pré-lavagens de roupas de algodão e poliéster de cor branca e cores firmes, com sujidades leves e pesadas. USO HOSPITALAR. O produto deverá conter na embalagem a identificação, marca do fabricante, lote, prazo de validade, peso/volume, autorização de funcionamento da empresa e ter Registro ou notificação na ANVISA-MS. O produto deverá ser LÍQUIDO para uso específico em dosadores.</t>
    </r>
  </si>
  <si>
    <r>
      <rPr>
        <b/>
        <sz val="11"/>
        <rFont val="Calibri"/>
        <family val="2"/>
        <scheme val="minor"/>
      </rPr>
      <t>ADITIVO ALCALINO</t>
    </r>
    <r>
      <rPr>
        <sz val="11"/>
        <rFont val="Calibri"/>
        <family val="2"/>
        <scheme val="minor"/>
      </rPr>
      <t xml:space="preserve">
- A principal função do aditivo alcalino em um detergente é emulsionar e saponificar a sujidade. A emulsificação é o processo de separar a sujidade em pequenas partículas que podem ser mantidas em suspensão na solução de detergente e água. A saponificação é a reação química entre um álcali e uma sujidade gordurosa, formando um sabão solúvel em água. A função secundária da alcalinidade é abrir e inchar as fibras de algodão, facilitando a remoção da sujidade. USO HOSPITALAR. O produto deverá conter na embalagem a identificação, marca do fabricante, lote, prazo de validade, peso/volume, autorização de funcionamento da empresa e ter Registro ou notificação na ANVISA-MS. O produto deverá ser LÍQUIDO para uso específico em dosadores.</t>
    </r>
  </si>
  <si>
    <r>
      <rPr>
        <b/>
        <sz val="11"/>
        <color rgb="FF000000"/>
        <rFont val="Calibri"/>
        <family val="2"/>
        <scheme val="minor"/>
      </rPr>
      <t>ALVEJANTE</t>
    </r>
    <r>
      <rPr>
        <sz val="11"/>
        <color rgb="FF000000"/>
        <rFont val="Calibri"/>
        <family val="2"/>
        <scheme val="minor"/>
      </rPr>
      <t xml:space="preserve">
Solução aquosa com finalidade de alvejamento, a base de peróxido de hidrogênio, podendo conter estabilizantes, corantes, fragrâncias, sequestrantes e/ou tensoativos. USO HOSPITALAR. O produto deverá conter na embalagem a identificação, marca do fabricante, lote, prazo de validade, peso/volume, autorização de funcionamento da empresa e ter Registro ou notificação na ANVISA-MS. O produto deverá ser LÍQUIDO para uso específico em dosadores</t>
    </r>
  </si>
  <si>
    <r>
      <rPr>
        <b/>
        <sz val="11"/>
        <rFont val="Calibri"/>
        <family val="2"/>
        <scheme val="minor"/>
      </rPr>
      <t>ACIDULANTE - NEUTRALIZADOR DE RESÍDUOS</t>
    </r>
    <r>
      <rPr>
        <sz val="11"/>
        <rFont val="Calibri"/>
        <family val="2"/>
        <scheme val="minor"/>
      </rPr>
      <t xml:space="preserve">
neutralizador de resíduos alcalinos e alvejantes químicos nos tecidos, solúvel em água, baixa granulometria, coloração branca, USO HOSPITALAR. O produto deverá conter na embalagem a identificação, marca do fabricante, lote, prazo de validade, peso/ volume, autorização de funcionamento da empresa e ter Registro ou notificação na ANVISA. O produto deverá ser LÍQUIDO para uso específico em dosadores.</t>
    </r>
  </si>
  <si>
    <r>
      <rPr>
        <b/>
        <sz val="11"/>
        <rFont val="Calibri"/>
        <family val="2"/>
        <scheme val="minor"/>
      </rPr>
      <t>AMACIANTE</t>
    </r>
    <r>
      <rPr>
        <sz val="11"/>
        <rFont val="Calibri"/>
        <family val="2"/>
        <scheme val="minor"/>
      </rPr>
      <t xml:space="preserve">
a base de tensoativo catiônico, pH máximo 12,5, indicado para lavagem de roupa hospitalar. Fragrâncias variadas. USO HOSPITALAR. O produto deverá conter na embalagem a identificação, marca do fabricante, lote, prazo de validade, peso/volume, autorização de funcionamento da empresa e ter Registro ou notificação na ANVISA-MS. O produto deverá ser LÍQUIDO para uso específico em dosadores.</t>
    </r>
  </si>
  <si>
    <t>HRB</t>
  </si>
  <si>
    <t>50 litros</t>
  </si>
  <si>
    <t>10 litros</t>
  </si>
  <si>
    <t>600 litros</t>
  </si>
  <si>
    <t>120 litros</t>
  </si>
  <si>
    <t>VALOR UNITÁRIO</t>
  </si>
  <si>
    <t xml:space="preserve">VALOR TOTAL ANUAL </t>
  </si>
  <si>
    <t>VALOR TOTAL MENSAL</t>
  </si>
  <si>
    <t xml:space="preserve">AUXILIAR DE LAVANDERIA </t>
  </si>
  <si>
    <t xml:space="preserve">COSTUREIRA </t>
  </si>
  <si>
    <t xml:space="preserve">VALOR UNITÁRIO </t>
  </si>
  <si>
    <t>IDENTIFICAÇÃO DO SERVIÇO</t>
  </si>
  <si>
    <t>QUADRO DEMONSTRATIVO - VALOR GLOBAL DA PROPOSTA</t>
  </si>
  <si>
    <t>VALOR</t>
  </si>
  <si>
    <t>VALOR PROPOSTO POR UNIDADE DE MEDIDA</t>
  </si>
  <si>
    <t>VALOR MENSAL DO SERVIÇO</t>
  </si>
  <si>
    <t>VALOR ANUAL DO SERVIÇO</t>
  </si>
  <si>
    <t>Auxiliar de Lavanderia</t>
  </si>
  <si>
    <t xml:space="preserve">Costureira </t>
  </si>
  <si>
    <t xml:space="preserve">Serviço de Lavanderia Hospitalar Interna, com disponibilização de equipamentos e demais utensílios, materiais de consumo, realização de manutenção preventiva e corretiva com reposição de peças </t>
  </si>
  <si>
    <t>Ordem</t>
  </si>
  <si>
    <t>Uniformes</t>
  </si>
  <si>
    <t xml:space="preserve">Periodicidade </t>
  </si>
  <si>
    <t>Quantidade</t>
  </si>
  <si>
    <t>Valor Mensal</t>
  </si>
  <si>
    <t xml:space="preserve"> Calça</t>
  </si>
  <si>
    <t>6 meses</t>
  </si>
  <si>
    <t>Camisa</t>
  </si>
  <si>
    <t>Crachá</t>
  </si>
  <si>
    <t>Par de calçados</t>
  </si>
  <si>
    <t>TOTAL MENSAL POR FUNCIONÁRIO</t>
  </si>
  <si>
    <t xml:space="preserve">UNIFORMES </t>
  </si>
  <si>
    <t>Valor Unitário (Litro)</t>
  </si>
  <si>
    <r>
      <t xml:space="preserve">Devido à fase de elaboração do Estudo Técnico Preliminar, ainda não foi possível definir as especificações ou quantidades dos uniformes necessários. Para contornar essa lacuna e agilizar o processo, o departamento encarregado de criar planilhas decidiu recorrer à Cláusula Trigésima da Convenção Coletiva de Trabalho RO000094/2024, estipulada pelo Sindicato das Empresas de Asseio, Conservação, Limpeza Pública e Locação de Mão-de-Obra do Estado de Rondônia.
De acordo com essa cláusula, as empresas são obrigadas a fornecer uniformes completos aos seus funcionários. </t>
    </r>
    <r>
      <rPr>
        <b/>
        <sz val="11"/>
        <color theme="1"/>
        <rFont val="Calibri"/>
        <family val="2"/>
        <scheme val="minor"/>
      </rPr>
      <t>Um uniforme completo consiste, no mínimo, em duas calças, duas camisas, um crachá e um par de calçados, os quais devem ser substituídos a cada seis meses.</t>
    </r>
    <r>
      <rPr>
        <sz val="11"/>
        <color theme="1"/>
        <rFont val="Calibri"/>
        <family val="2"/>
        <scheme val="minor"/>
      </rPr>
      <t xml:space="preserve"> Além disso, as empresas devem fornecer os equipamentos de proteção individual e coletiva necessários conforme as normas regulamentadoras.
</t>
    </r>
  </si>
  <si>
    <t>VIDA ÚTIL (MESES)</t>
  </si>
  <si>
    <t>INFORMAÇÃO:</t>
  </si>
  <si>
    <t>A quantidade de empregados por função foi definida conforme a planilha do contrato administrativo nº 237/PGE-2020 (0011760386), do processo 0036.013967/2024-20.</t>
  </si>
  <si>
    <t>QUANTIDADE DE EMPREGADOS POR FUNÇÃO</t>
  </si>
  <si>
    <t>Férias e Adicional de Férias</t>
  </si>
  <si>
    <r>
      <rPr>
        <b/>
        <sz val="11"/>
        <rFont val="Calibri"/>
        <family val="2"/>
        <scheme val="minor"/>
      </rPr>
      <t>INSS</t>
    </r>
    <r>
      <rPr>
        <sz val="11"/>
        <rFont val="Calibri"/>
        <family val="2"/>
        <scheme val="minor"/>
      </rPr>
      <t xml:space="preserve"> (20%)</t>
    </r>
  </si>
  <si>
    <r>
      <rPr>
        <b/>
        <sz val="11"/>
        <rFont val="Calibri"/>
        <family val="2"/>
        <scheme val="minor"/>
      </rPr>
      <t>SESI OU SESC</t>
    </r>
    <r>
      <rPr>
        <sz val="11"/>
        <rFont val="Calibri"/>
        <family val="2"/>
        <scheme val="minor"/>
      </rPr>
      <t xml:space="preserve"> (1,5%)</t>
    </r>
  </si>
  <si>
    <r>
      <rPr>
        <b/>
        <sz val="11"/>
        <rFont val="Calibri"/>
        <family val="2"/>
        <scheme val="minor"/>
      </rPr>
      <t>SENAI OU SENAC</t>
    </r>
    <r>
      <rPr>
        <sz val="11"/>
        <rFont val="Calibri"/>
        <family val="2"/>
        <scheme val="minor"/>
      </rPr>
      <t xml:space="preserve"> (1,0%)</t>
    </r>
  </si>
  <si>
    <r>
      <rPr>
        <b/>
        <sz val="11"/>
        <rFont val="Calibri"/>
        <family val="2"/>
        <scheme val="minor"/>
      </rPr>
      <t xml:space="preserve">INCRA </t>
    </r>
    <r>
      <rPr>
        <sz val="11"/>
        <rFont val="Calibri"/>
        <family val="2"/>
        <scheme val="minor"/>
      </rPr>
      <t>(0,20% ou  2,7%) - IN nº971, MPS/SRP/2009, Anexo I e II ver código da Tabela</t>
    </r>
  </si>
  <si>
    <r>
      <rPr>
        <b/>
        <sz val="11"/>
        <rFont val="Calibri"/>
        <family val="2"/>
        <scheme val="minor"/>
      </rPr>
      <t>SALÁRIO EDUCAÇÃO</t>
    </r>
    <r>
      <rPr>
        <sz val="11"/>
        <rFont val="Calibri"/>
        <family val="2"/>
        <scheme val="minor"/>
      </rPr>
      <t xml:space="preserve"> (2,5%)</t>
    </r>
  </si>
  <si>
    <r>
      <rPr>
        <b/>
        <sz val="11"/>
        <rFont val="Calibri"/>
        <family val="2"/>
        <scheme val="minor"/>
      </rPr>
      <t>RAT X SAT (Conforme GFIP)</t>
    </r>
    <r>
      <rPr>
        <sz val="11"/>
        <rFont val="Calibri"/>
        <family val="2"/>
        <scheme val="minor"/>
      </rPr>
      <t xml:space="preserve"> (Riscos Ambientais do Trabalho) (Sat/Inss(médio)) (Riscos: Leve 1,0%, Médio 2,0%, Grave 3,0% - veja Decreto 3048/99 - Anexo V (CNAE de 1% a 3% FAP de 0,5 a 2,0)</t>
    </r>
  </si>
  <si>
    <t xml:space="preserve">RO000003/2025
</t>
  </si>
  <si>
    <t>40% * 1.518,00</t>
  </si>
  <si>
    <t>SAL.BASE *50%*0,0199*2/12</t>
  </si>
  <si>
    <t>Incidência do submódulo 2.2 sobre aviso prévio trabalhado (36,80% sobre o valor do Aviso Prévio Trabalhado)</t>
  </si>
  <si>
    <t>Substituto na Cobertura de Ausências Legais (faltas legais)</t>
  </si>
  <si>
    <t xml:space="preserve">Tributos federais </t>
  </si>
  <si>
    <t xml:space="preserve">PIS </t>
  </si>
  <si>
    <t>COFINS</t>
  </si>
  <si>
    <t>Tributos municipais (ISS/ISSQN)</t>
  </si>
  <si>
    <t>C.1</t>
  </si>
  <si>
    <t>C.1.1</t>
  </si>
  <si>
    <t>C.1.2</t>
  </si>
  <si>
    <t>C.2</t>
  </si>
  <si>
    <t>Subtotal (A+B+C+D+E)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</si>
</sst>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&quot;R$&quot;\ #,##0.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i/>
      <sz val="10"/>
      <color rgb="FF002060"/>
      <name val="Calibri"/>
      <family val="2"/>
      <scheme val="minor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trike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31" fillId="0" borderId="0"/>
    <xf numFmtId="0" fontId="31" fillId="0" borderId="0"/>
  </cellStyleXfs>
  <cellXfs count="354">
    <xf numFmtId="0" fontId="0" fillId="0" borderId="0" xfId="0"/>
    <xf numFmtId="0" fontId="6" fillId="2" borderId="5" xfId="0" applyFont="1" applyFill="1" applyBorder="1" applyAlignment="1">
      <alignment wrapText="1"/>
    </xf>
    <xf numFmtId="0" fontId="6" fillId="2" borderId="6" xfId="0" applyFont="1" applyFill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2" borderId="6" xfId="0" applyFont="1" applyFill="1" applyBorder="1" applyAlignment="1">
      <alignment horizontal="justify" wrapText="1"/>
    </xf>
    <xf numFmtId="0" fontId="11" fillId="0" borderId="0" xfId="0" applyFont="1" applyAlignment="1">
      <alignment horizontal="justify" wrapText="1"/>
    </xf>
    <xf numFmtId="0" fontId="12" fillId="2" borderId="6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/>
    <xf numFmtId="0" fontId="9" fillId="2" borderId="7" xfId="0" applyFont="1" applyFill="1" applyBorder="1" applyAlignment="1">
      <alignment horizontal="center" wrapText="1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0" fontId="0" fillId="0" borderId="7" xfId="0" applyBorder="1"/>
    <xf numFmtId="0" fontId="4" fillId="0" borderId="0" xfId="6" applyAlignment="1" applyProtection="1"/>
    <xf numFmtId="0" fontId="16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18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justify" vertical="center" wrapText="1"/>
    </xf>
    <xf numFmtId="0" fontId="19" fillId="0" borderId="11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164" fontId="21" fillId="0" borderId="0" xfId="2" applyNumberFormat="1" applyFont="1" applyFill="1" applyBorder="1" applyAlignment="1">
      <alignment vertical="center"/>
    </xf>
    <xf numFmtId="44" fontId="20" fillId="0" borderId="0" xfId="1" applyFont="1" applyFill="1" applyBorder="1" applyAlignment="1">
      <alignment horizontal="justify" vertical="center"/>
    </xf>
    <xf numFmtId="4" fontId="20" fillId="0" borderId="0" xfId="0" applyNumberFormat="1" applyFont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justify" vertical="center"/>
    </xf>
    <xf numFmtId="4" fontId="22" fillId="2" borderId="1" xfId="5" applyNumberFormat="1" applyFont="1" applyFill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/>
    </xf>
    <xf numFmtId="0" fontId="22" fillId="2" borderId="14" xfId="0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right" vertical="center" wrapText="1"/>
    </xf>
    <xf numFmtId="0" fontId="22" fillId="2" borderId="1" xfId="4" applyFont="1" applyFill="1" applyBorder="1" applyAlignment="1">
      <alignment horizontal="justify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0" borderId="14" xfId="5" applyFont="1" applyBorder="1" applyAlignment="1">
      <alignment horizontal="center" vertical="center" wrapText="1"/>
    </xf>
    <xf numFmtId="0" fontId="22" fillId="0" borderId="1" xfId="5" applyFont="1" applyBorder="1" applyAlignment="1">
      <alignment vertical="center" wrapText="1"/>
    </xf>
    <xf numFmtId="0" fontId="22" fillId="0" borderId="1" xfId="0" applyFont="1" applyBorder="1" applyAlignment="1">
      <alignment vertical="center"/>
    </xf>
    <xf numFmtId="10" fontId="22" fillId="0" borderId="1" xfId="2" applyNumberFormat="1" applyFont="1" applyFill="1" applyBorder="1" applyAlignment="1">
      <alignment horizontal="center" vertical="center"/>
    </xf>
    <xf numFmtId="0" fontId="22" fillId="2" borderId="1" xfId="5" applyFont="1" applyFill="1" applyBorder="1" applyAlignment="1">
      <alignment vertical="center"/>
    </xf>
    <xf numFmtId="164" fontId="23" fillId="0" borderId="1" xfId="2" applyNumberFormat="1" applyFont="1" applyFill="1" applyBorder="1" applyAlignment="1">
      <alignment vertical="center"/>
    </xf>
    <xf numFmtId="0" fontId="27" fillId="0" borderId="1" xfId="6" applyFont="1" applyFill="1" applyBorder="1" applyAlignment="1" applyProtection="1">
      <alignment horizontal="justify" vertical="center"/>
    </xf>
    <xf numFmtId="10" fontId="23" fillId="5" borderId="1" xfId="2" applyNumberFormat="1" applyFont="1" applyFill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165" fontId="22" fillId="0" borderId="13" xfId="0" applyNumberFormat="1" applyFont="1" applyBorder="1" applyAlignment="1">
      <alignment horizontal="center" vertical="center"/>
    </xf>
    <xf numFmtId="165" fontId="23" fillId="5" borderId="13" xfId="0" applyNumberFormat="1" applyFont="1" applyFill="1" applyBorder="1" applyAlignment="1">
      <alignment horizontal="center" vertical="center"/>
    </xf>
    <xf numFmtId="10" fontId="23" fillId="5" borderId="1" xfId="0" applyNumberFormat="1" applyFont="1" applyFill="1" applyBorder="1" applyAlignment="1">
      <alignment horizontal="center" vertical="center" wrapText="1"/>
    </xf>
    <xf numFmtId="165" fontId="23" fillId="2" borderId="13" xfId="5" applyNumberFormat="1" applyFont="1" applyFill="1" applyBorder="1" applyAlignment="1">
      <alignment horizontal="center" vertical="center" wrapText="1"/>
    </xf>
    <xf numFmtId="165" fontId="22" fillId="2" borderId="13" xfId="0" applyNumberFormat="1" applyFont="1" applyFill="1" applyBorder="1" applyAlignment="1">
      <alignment horizontal="center" vertical="center"/>
    </xf>
    <xf numFmtId="165" fontId="22" fillId="2" borderId="13" xfId="0" quotePrefix="1" applyNumberFormat="1" applyFont="1" applyFill="1" applyBorder="1" applyAlignment="1">
      <alignment horizontal="center" vertical="center"/>
    </xf>
    <xf numFmtId="165" fontId="23" fillId="6" borderId="13" xfId="0" applyNumberFormat="1" applyFont="1" applyFill="1" applyBorder="1" applyAlignment="1">
      <alignment horizontal="center" vertical="center"/>
    </xf>
    <xf numFmtId="165" fontId="23" fillId="4" borderId="13" xfId="5" applyNumberFormat="1" applyFont="1" applyFill="1" applyBorder="1" applyAlignment="1">
      <alignment horizontal="center" vertical="center" wrapText="1"/>
    </xf>
    <xf numFmtId="165" fontId="23" fillId="0" borderId="13" xfId="5" applyNumberFormat="1" applyFont="1" applyBorder="1" applyAlignment="1">
      <alignment horizontal="center" vertical="center" wrapText="1"/>
    </xf>
    <xf numFmtId="165" fontId="22" fillId="2" borderId="13" xfId="5" applyNumberFormat="1" applyFont="1" applyFill="1" applyBorder="1" applyAlignment="1">
      <alignment horizontal="center" vertical="center"/>
    </xf>
    <xf numFmtId="165" fontId="22" fillId="0" borderId="13" xfId="0" quotePrefix="1" applyNumberFormat="1" applyFont="1" applyBorder="1" applyAlignment="1">
      <alignment horizontal="center" vertical="center"/>
    </xf>
    <xf numFmtId="165" fontId="23" fillId="2" borderId="13" xfId="0" applyNumberFormat="1" applyFont="1" applyFill="1" applyBorder="1" applyAlignment="1">
      <alignment horizontal="center" vertical="center"/>
    </xf>
    <xf numFmtId="10" fontId="23" fillId="5" borderId="1" xfId="5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4" fontId="22" fillId="0" borderId="1" xfId="2" applyNumberFormat="1" applyFont="1" applyFill="1" applyBorder="1" applyAlignment="1">
      <alignment horizontal="center" vertical="center"/>
    </xf>
    <xf numFmtId="165" fontId="23" fillId="3" borderId="13" xfId="5" applyNumberFormat="1" applyFont="1" applyFill="1" applyBorder="1" applyAlignment="1">
      <alignment horizontal="center" vertical="center" wrapText="1"/>
    </xf>
    <xf numFmtId="165" fontId="23" fillId="0" borderId="13" xfId="0" applyNumberFormat="1" applyFont="1" applyBorder="1" applyAlignment="1">
      <alignment horizontal="center" vertical="center"/>
    </xf>
    <xf numFmtId="165" fontId="23" fillId="5" borderId="15" xfId="0" applyNumberFormat="1" applyFont="1" applyFill="1" applyBorder="1" applyAlignment="1">
      <alignment horizontal="center" vertical="center"/>
    </xf>
    <xf numFmtId="165" fontId="23" fillId="4" borderId="13" xfId="0" applyNumberFormat="1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165" fontId="22" fillId="0" borderId="13" xfId="1" applyNumberFormat="1" applyFont="1" applyFill="1" applyBorder="1" applyAlignment="1">
      <alignment horizontal="center" vertical="center"/>
    </xf>
    <xf numFmtId="4" fontId="23" fillId="2" borderId="13" xfId="5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3" fillId="4" borderId="1" xfId="0" applyFont="1" applyFill="1" applyBorder="1" applyAlignment="1">
      <alignment vertical="center" wrapText="1"/>
    </xf>
    <xf numFmtId="0" fontId="23" fillId="0" borderId="1" xfId="5" applyFont="1" applyBorder="1" applyAlignment="1">
      <alignment vertical="center" wrapText="1"/>
    </xf>
    <xf numFmtId="10" fontId="23" fillId="6" borderId="1" xfId="5" applyNumberFormat="1" applyFont="1" applyFill="1" applyBorder="1" applyAlignment="1">
      <alignment horizontal="center" vertical="center" wrapText="1"/>
    </xf>
    <xf numFmtId="0" fontId="23" fillId="0" borderId="1" xfId="5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10" fontId="23" fillId="0" borderId="1" xfId="0" applyNumberFormat="1" applyFont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/>
    </xf>
    <xf numFmtId="0" fontId="23" fillId="5" borderId="18" xfId="0" applyFont="1" applyFill="1" applyBorder="1" applyAlignment="1">
      <alignment horizontal="center" vertical="center"/>
    </xf>
    <xf numFmtId="0" fontId="23" fillId="5" borderId="19" xfId="0" applyFont="1" applyFill="1" applyBorder="1" applyAlignment="1">
      <alignment horizontal="center" vertical="center"/>
    </xf>
    <xf numFmtId="0" fontId="23" fillId="5" borderId="19" xfId="0" applyFont="1" applyFill="1" applyBorder="1" applyAlignment="1">
      <alignment horizontal="center" vertical="center" wrapText="1"/>
    </xf>
    <xf numFmtId="0" fontId="23" fillId="5" borderId="20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44" fontId="23" fillId="0" borderId="20" xfId="0" applyNumberFormat="1" applyFont="1" applyBorder="1" applyAlignment="1">
      <alignment horizontal="center" vertical="center" wrapText="1"/>
    </xf>
    <xf numFmtId="165" fontId="23" fillId="5" borderId="7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 wrapText="1"/>
    </xf>
    <xf numFmtId="0" fontId="29" fillId="2" borderId="1" xfId="0" applyNumberFormat="1" applyFont="1" applyFill="1" applyBorder="1" applyAlignment="1">
      <alignment horizontal="center" vertical="center" shrinkToFit="1"/>
    </xf>
    <xf numFmtId="1" fontId="29" fillId="2" borderId="14" xfId="0" applyNumberFormat="1" applyFont="1" applyFill="1" applyBorder="1" applyAlignment="1">
      <alignment horizontal="center" vertical="center" shrinkToFit="1"/>
    </xf>
    <xf numFmtId="165" fontId="0" fillId="2" borderId="1" xfId="0" applyNumberFormat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 shrinkToFit="1"/>
    </xf>
    <xf numFmtId="0" fontId="22" fillId="0" borderId="14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3" fillId="5" borderId="28" xfId="0" applyFont="1" applyFill="1" applyBorder="1" applyAlignment="1">
      <alignment horizontal="center" vertical="center"/>
    </xf>
    <xf numFmtId="0" fontId="23" fillId="5" borderId="29" xfId="0" applyFont="1" applyFill="1" applyBorder="1" applyAlignment="1">
      <alignment horizontal="center" vertical="center"/>
    </xf>
    <xf numFmtId="0" fontId="23" fillId="5" borderId="29" xfId="0" applyFont="1" applyFill="1" applyBorder="1" applyAlignment="1">
      <alignment horizontal="center" vertical="center" wrapText="1"/>
    </xf>
    <xf numFmtId="0" fontId="23" fillId="5" borderId="30" xfId="0" applyFont="1" applyFill="1" applyBorder="1" applyAlignment="1">
      <alignment horizontal="center" vertical="center" wrapText="1"/>
    </xf>
    <xf numFmtId="165" fontId="22" fillId="2" borderId="13" xfId="1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 wrapText="1"/>
    </xf>
    <xf numFmtId="0" fontId="23" fillId="2" borderId="36" xfId="0" applyFont="1" applyFill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2" fontId="22" fillId="0" borderId="26" xfId="0" applyNumberFormat="1" applyFont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/>
    </xf>
    <xf numFmtId="0" fontId="23" fillId="5" borderId="20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5" fontId="22" fillId="2" borderId="1" xfId="7" applyNumberFormat="1" applyFont="1" applyFill="1" applyBorder="1" applyAlignment="1">
      <alignment horizontal="center" vertical="center"/>
    </xf>
    <xf numFmtId="165" fontId="22" fillId="2" borderId="13" xfId="7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1" fontId="29" fillId="2" borderId="26" xfId="0" applyNumberFormat="1" applyFont="1" applyFill="1" applyBorder="1" applyAlignment="1">
      <alignment horizontal="center" vertical="center" shrinkToFit="1"/>
    </xf>
    <xf numFmtId="165" fontId="22" fillId="2" borderId="26" xfId="7" applyNumberFormat="1" applyFont="1" applyFill="1" applyBorder="1" applyAlignment="1">
      <alignment horizontal="center" vertical="center"/>
    </xf>
    <xf numFmtId="165" fontId="22" fillId="2" borderId="32" xfId="7" applyNumberFormat="1" applyFont="1" applyFill="1" applyBorder="1" applyAlignment="1">
      <alignment horizontal="center" vertical="center"/>
    </xf>
    <xf numFmtId="165" fontId="2" fillId="7" borderId="8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165" fontId="22" fillId="2" borderId="26" xfId="0" applyNumberFormat="1" applyFont="1" applyFill="1" applyBorder="1" applyAlignment="1">
      <alignment horizontal="center" vertical="center"/>
    </xf>
    <xf numFmtId="165" fontId="22" fillId="2" borderId="32" xfId="1" applyNumberFormat="1" applyFont="1" applyFill="1" applyBorder="1" applyAlignment="1">
      <alignment horizontal="center" vertical="center"/>
    </xf>
    <xf numFmtId="165" fontId="23" fillId="5" borderId="3" xfId="7" applyNumberFormat="1" applyFont="1" applyFill="1" applyBorder="1" applyAlignment="1">
      <alignment horizontal="center" vertical="center"/>
    </xf>
    <xf numFmtId="165" fontId="23" fillId="5" borderId="8" xfId="7" applyNumberFormat="1" applyFont="1" applyFill="1" applyBorder="1" applyAlignment="1">
      <alignment horizontal="center" vertical="center"/>
    </xf>
    <xf numFmtId="1" fontId="0" fillId="2" borderId="18" xfId="0" applyNumberFormat="1" applyFont="1" applyFill="1" applyBorder="1" applyAlignment="1">
      <alignment horizontal="center" vertical="center" shrinkToFit="1"/>
    </xf>
    <xf numFmtId="0" fontId="0" fillId="2" borderId="19" xfId="0" applyFont="1" applyFill="1" applyBorder="1" applyAlignment="1">
      <alignment horizontal="left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19" xfId="0" applyNumberFormat="1" applyFont="1" applyFill="1" applyBorder="1" applyAlignment="1">
      <alignment horizontal="center" vertical="center" wrapText="1"/>
    </xf>
    <xf numFmtId="165" fontId="0" fillId="2" borderId="19" xfId="1" applyNumberFormat="1" applyFont="1" applyFill="1" applyBorder="1" applyAlignment="1">
      <alignment horizontal="center" vertical="center" shrinkToFit="1"/>
    </xf>
    <xf numFmtId="165" fontId="0" fillId="2" borderId="19" xfId="0" applyNumberFormat="1" applyFont="1" applyFill="1" applyBorder="1" applyAlignment="1">
      <alignment horizontal="center" vertical="center"/>
    </xf>
    <xf numFmtId="165" fontId="0" fillId="2" borderId="20" xfId="0" applyNumberFormat="1" applyFill="1" applyBorder="1" applyAlignment="1">
      <alignment horizontal="center" vertical="center"/>
    </xf>
    <xf numFmtId="1" fontId="0" fillId="2" borderId="14" xfId="0" applyNumberFormat="1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165" fontId="0" fillId="2" borderId="13" xfId="0" applyNumberFormat="1" applyFill="1" applyBorder="1" applyAlignment="1">
      <alignment horizontal="center" vertical="center"/>
    </xf>
    <xf numFmtId="165" fontId="23" fillId="5" borderId="17" xfId="7" applyNumberFormat="1" applyFont="1" applyFill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44" fontId="23" fillId="0" borderId="37" xfId="0" applyNumberFormat="1" applyFont="1" applyBorder="1" applyAlignment="1">
      <alignment horizontal="center" vertical="center" wrapText="1"/>
    </xf>
    <xf numFmtId="44" fontId="23" fillId="0" borderId="38" xfId="0" applyNumberFormat="1" applyFont="1" applyBorder="1" applyAlignment="1">
      <alignment horizontal="center" vertical="center" wrapText="1"/>
    </xf>
    <xf numFmtId="44" fontId="22" fillId="0" borderId="1" xfId="0" applyNumberFormat="1" applyFont="1" applyBorder="1" applyAlignment="1">
      <alignment horizontal="center" vertical="center"/>
    </xf>
    <xf numFmtId="44" fontId="22" fillId="0" borderId="13" xfId="0" applyNumberFormat="1" applyFont="1" applyBorder="1" applyAlignment="1">
      <alignment horizontal="center" vertical="center"/>
    </xf>
    <xf numFmtId="44" fontId="22" fillId="0" borderId="26" xfId="0" applyNumberFormat="1" applyFont="1" applyBorder="1" applyAlignment="1">
      <alignment horizontal="center" vertical="center"/>
    </xf>
    <xf numFmtId="44" fontId="22" fillId="0" borderId="32" xfId="0" applyNumberFormat="1" applyFont="1" applyBorder="1" applyAlignment="1">
      <alignment horizontal="center" vertical="center"/>
    </xf>
    <xf numFmtId="44" fontId="23" fillId="7" borderId="3" xfId="0" applyNumberFormat="1" applyFont="1" applyFill="1" applyBorder="1" applyAlignment="1">
      <alignment horizontal="center" vertical="center"/>
    </xf>
    <xf numFmtId="44" fontId="23" fillId="7" borderId="8" xfId="0" applyNumberFormat="1" applyFont="1" applyFill="1" applyBorder="1" applyAlignment="1">
      <alignment horizontal="center" vertical="center"/>
    </xf>
    <xf numFmtId="44" fontId="22" fillId="0" borderId="26" xfId="0" applyNumberFormat="1" applyFont="1" applyBorder="1" applyAlignment="1">
      <alignment horizontal="center" vertical="center" wrapText="1"/>
    </xf>
    <xf numFmtId="44" fontId="22" fillId="0" borderId="32" xfId="0" applyNumberFormat="1" applyFont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44" fontId="22" fillId="2" borderId="31" xfId="0" applyNumberFormat="1" applyFont="1" applyFill="1" applyBorder="1" applyAlignment="1">
      <alignment horizontal="center" vertical="center"/>
    </xf>
    <xf numFmtId="165" fontId="23" fillId="7" borderId="7" xfId="0" applyNumberFormat="1" applyFont="1" applyFill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22" fillId="2" borderId="1" xfId="0" applyFont="1" applyFill="1" applyBorder="1" applyAlignment="1">
      <alignment vertical="center"/>
    </xf>
    <xf numFmtId="0" fontId="22" fillId="2" borderId="1" xfId="5" applyFont="1" applyFill="1" applyBorder="1" applyAlignment="1">
      <alignment vertical="center" wrapText="1"/>
    </xf>
    <xf numFmtId="0" fontId="23" fillId="4" borderId="1" xfId="5" applyFont="1" applyFill="1" applyBorder="1" applyAlignment="1">
      <alignment vertical="center" wrapText="1"/>
    </xf>
    <xf numFmtId="0" fontId="22" fillId="2" borderId="1" xfId="5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23" fillId="0" borderId="1" xfId="6" applyFont="1" applyFill="1" applyBorder="1" applyAlignment="1" applyProtection="1">
      <alignment horizontal="left" vertical="center"/>
    </xf>
    <xf numFmtId="0" fontId="2" fillId="4" borderId="1" xfId="5" applyFont="1" applyFill="1" applyBorder="1" applyAlignment="1">
      <alignment vertical="center" wrapText="1"/>
    </xf>
    <xf numFmtId="0" fontId="22" fillId="2" borderId="14" xfId="5" applyFont="1" applyFill="1" applyBorder="1" applyAlignment="1">
      <alignment horizontal="center"/>
    </xf>
    <xf numFmtId="0" fontId="22" fillId="2" borderId="14" xfId="5" applyFont="1" applyFill="1" applyBorder="1" applyAlignment="1">
      <alignment horizontal="center" vertical="center" wrapText="1"/>
    </xf>
    <xf numFmtId="0" fontId="2" fillId="4" borderId="14" xfId="5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4" xfId="5" applyFont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4" borderId="14" xfId="5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justify" vertical="center"/>
    </xf>
    <xf numFmtId="0" fontId="23" fillId="2" borderId="14" xfId="5" applyFont="1" applyFill="1" applyBorder="1" applyAlignment="1">
      <alignment horizontal="center" vertical="center" wrapText="1"/>
    </xf>
    <xf numFmtId="10" fontId="22" fillId="0" borderId="1" xfId="0" applyNumberFormat="1" applyFont="1" applyBorder="1" applyAlignment="1">
      <alignment horizontal="center" vertical="center"/>
    </xf>
    <xf numFmtId="1" fontId="22" fillId="2" borderId="14" xfId="0" applyNumberFormat="1" applyFont="1" applyFill="1" applyBorder="1" applyAlignment="1">
      <alignment horizontal="center" vertical="center" shrinkToFit="1"/>
    </xf>
    <xf numFmtId="0" fontId="22" fillId="2" borderId="1" xfId="0" applyNumberFormat="1" applyFont="1" applyFill="1" applyBorder="1" applyAlignment="1">
      <alignment horizontal="center" vertical="center" wrapText="1"/>
    </xf>
    <xf numFmtId="165" fontId="22" fillId="2" borderId="1" xfId="1" applyNumberFormat="1" applyFont="1" applyFill="1" applyBorder="1" applyAlignment="1">
      <alignment horizontal="center" vertical="center" shrinkToFit="1"/>
    </xf>
    <xf numFmtId="1" fontId="22" fillId="2" borderId="21" xfId="0" applyNumberFormat="1" applyFont="1" applyFill="1" applyBorder="1" applyAlignment="1">
      <alignment horizontal="center" vertical="center" shrinkToFit="1"/>
    </xf>
    <xf numFmtId="0" fontId="22" fillId="2" borderId="22" xfId="0" applyFont="1" applyFill="1" applyBorder="1" applyAlignment="1">
      <alignment horizontal="left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22" xfId="0" applyNumberFormat="1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165" fontId="22" fillId="2" borderId="22" xfId="1" applyNumberFormat="1" applyFont="1" applyFill="1" applyBorder="1" applyAlignment="1">
      <alignment horizontal="center" vertical="center" shrinkToFit="1"/>
    </xf>
    <xf numFmtId="165" fontId="0" fillId="2" borderId="22" xfId="0" applyNumberFormat="1" applyFont="1" applyFill="1" applyBorder="1" applyAlignment="1">
      <alignment horizontal="center" vertical="center"/>
    </xf>
    <xf numFmtId="165" fontId="0" fillId="2" borderId="15" xfId="0" applyNumberFormat="1" applyFill="1" applyBorder="1" applyAlignment="1">
      <alignment horizontal="center" vertical="center"/>
    </xf>
    <xf numFmtId="0" fontId="22" fillId="2" borderId="1" xfId="0" applyNumberFormat="1" applyFont="1" applyFill="1" applyBorder="1" applyAlignment="1">
      <alignment horizontal="center" vertical="center" wrapText="1" shrinkToFit="1"/>
    </xf>
    <xf numFmtId="0" fontId="22" fillId="2" borderId="1" xfId="0" applyNumberFormat="1" applyFont="1" applyFill="1" applyBorder="1" applyAlignment="1">
      <alignment horizontal="center" vertical="center" shrinkToFit="1"/>
    </xf>
    <xf numFmtId="0" fontId="23" fillId="2" borderId="37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3" fillId="0" borderId="0" xfId="0" applyFont="1" applyAlignment="1">
      <alignment horizontal="justify" wrapText="1"/>
    </xf>
    <xf numFmtId="0" fontId="17" fillId="0" borderId="8" xfId="0" applyFont="1" applyBorder="1" applyAlignment="1">
      <alignment horizontal="center" vertical="center" wrapText="1"/>
    </xf>
    <xf numFmtId="44" fontId="23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4" fontId="2" fillId="0" borderId="13" xfId="0" applyNumberFormat="1" applyFont="1" applyBorder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/>
    </xf>
    <xf numFmtId="0" fontId="23" fillId="3" borderId="19" xfId="0" applyFont="1" applyFill="1" applyBorder="1" applyAlignment="1">
      <alignment horizontal="center" vertical="center"/>
    </xf>
    <xf numFmtId="0" fontId="23" fillId="3" borderId="20" xfId="0" applyFont="1" applyFill="1" applyBorder="1" applyAlignment="1">
      <alignment horizontal="center" vertical="center"/>
    </xf>
    <xf numFmtId="0" fontId="23" fillId="2" borderId="28" xfId="0" applyFont="1" applyFill="1" applyBorder="1" applyAlignment="1">
      <alignment horizontal="center" vertical="center" wrapText="1"/>
    </xf>
    <xf numFmtId="0" fontId="23" fillId="2" borderId="29" xfId="0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23" fillId="7" borderId="33" xfId="0" applyFont="1" applyFill="1" applyBorder="1" applyAlignment="1">
      <alignment horizontal="center" vertical="center"/>
    </xf>
    <xf numFmtId="0" fontId="23" fillId="7" borderId="34" xfId="0" applyFont="1" applyFill="1" applyBorder="1" applyAlignment="1">
      <alignment horizontal="center" vertical="center"/>
    </xf>
    <xf numFmtId="0" fontId="23" fillId="7" borderId="35" xfId="0" applyFont="1" applyFill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3" fillId="7" borderId="39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/>
    </xf>
    <xf numFmtId="0" fontId="23" fillId="7" borderId="2" xfId="0" applyFont="1" applyFill="1" applyBorder="1" applyAlignment="1">
      <alignment horizontal="center" vertical="center"/>
    </xf>
    <xf numFmtId="0" fontId="23" fillId="7" borderId="4" xfId="0" applyFont="1" applyFill="1" applyBorder="1" applyAlignment="1">
      <alignment horizontal="center" vertical="center"/>
    </xf>
    <xf numFmtId="0" fontId="23" fillId="2" borderId="37" xfId="0" applyFont="1" applyFill="1" applyBorder="1" applyAlignment="1">
      <alignment horizontal="center" vertical="center" wrapText="1"/>
    </xf>
    <xf numFmtId="0" fontId="0" fillId="2" borderId="37" xfId="0" applyFont="1" applyFill="1" applyBorder="1" applyAlignment="1">
      <alignment horizontal="center" vertical="center" wrapText="1"/>
    </xf>
    <xf numFmtId="0" fontId="0" fillId="2" borderId="38" xfId="0" applyFont="1" applyFill="1" applyBorder="1" applyAlignment="1">
      <alignment horizontal="center" vertical="center" wrapText="1"/>
    </xf>
    <xf numFmtId="44" fontId="23" fillId="0" borderId="22" xfId="0" applyNumberFormat="1" applyFont="1" applyFill="1" applyBorder="1" applyAlignment="1">
      <alignment horizontal="center" vertical="center" wrapText="1"/>
    </xf>
    <xf numFmtId="44" fontId="2" fillId="0" borderId="22" xfId="0" applyNumberFormat="1" applyFont="1" applyBorder="1" applyAlignment="1">
      <alignment horizontal="center" vertical="center" wrapText="1"/>
    </xf>
    <xf numFmtId="44" fontId="2" fillId="0" borderId="15" xfId="0" applyNumberFormat="1" applyFont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2" borderId="1" xfId="5" applyFont="1" applyFill="1" applyBorder="1" applyAlignment="1">
      <alignment horizontal="center" vertical="center" wrapText="1"/>
    </xf>
    <xf numFmtId="0" fontId="23" fillId="0" borderId="14" xfId="5" applyFont="1" applyBorder="1" applyAlignment="1">
      <alignment horizontal="center" vertical="center" wrapText="1"/>
    </xf>
    <xf numFmtId="0" fontId="23" fillId="0" borderId="1" xfId="5" applyFont="1" applyBorder="1" applyAlignment="1">
      <alignment horizontal="center" vertical="center" wrapText="1"/>
    </xf>
    <xf numFmtId="0" fontId="22" fillId="0" borderId="1" xfId="5" applyFont="1" applyBorder="1" applyAlignment="1">
      <alignment horizontal="left" vertical="center" wrapText="1"/>
    </xf>
    <xf numFmtId="0" fontId="23" fillId="5" borderId="21" xfId="5" applyFont="1" applyFill="1" applyBorder="1" applyAlignment="1">
      <alignment horizontal="center" vertical="center" wrapText="1"/>
    </xf>
    <xf numFmtId="0" fontId="23" fillId="5" borderId="22" xfId="5" applyFont="1" applyFill="1" applyBorder="1" applyAlignment="1">
      <alignment horizontal="center" vertical="center" wrapText="1"/>
    </xf>
    <xf numFmtId="0" fontId="23" fillId="3" borderId="14" xfId="5" applyFont="1" applyFill="1" applyBorder="1" applyAlignment="1">
      <alignment horizontal="center" vertical="center" wrapText="1"/>
    </xf>
    <xf numFmtId="0" fontId="23" fillId="3" borderId="1" xfId="5" applyFont="1" applyFill="1" applyBorder="1" applyAlignment="1">
      <alignment horizontal="center" vertical="center" wrapText="1"/>
    </xf>
    <xf numFmtId="0" fontId="23" fillId="5" borderId="14" xfId="5" applyFont="1" applyFill="1" applyBorder="1" applyAlignment="1">
      <alignment horizontal="center" vertical="center" wrapText="1"/>
    </xf>
    <xf numFmtId="0" fontId="23" fillId="5" borderId="1" xfId="5" applyFont="1" applyFill="1" applyBorder="1" applyAlignment="1">
      <alignment horizontal="center" vertical="center" wrapText="1"/>
    </xf>
    <xf numFmtId="0" fontId="23" fillId="4" borderId="14" xfId="5" applyFont="1" applyFill="1" applyBorder="1" applyAlignment="1">
      <alignment horizontal="center" vertical="center"/>
    </xf>
    <xf numFmtId="0" fontId="23" fillId="4" borderId="1" xfId="5" applyFont="1" applyFill="1" applyBorder="1" applyAlignment="1">
      <alignment horizontal="center" vertical="center"/>
    </xf>
    <xf numFmtId="0" fontId="23" fillId="4" borderId="13" xfId="5" applyFont="1" applyFill="1" applyBorder="1" applyAlignment="1">
      <alignment horizontal="center" vertical="center"/>
    </xf>
    <xf numFmtId="0" fontId="23" fillId="2" borderId="14" xfId="5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center" vertical="center"/>
    </xf>
    <xf numFmtId="0" fontId="23" fillId="2" borderId="13" xfId="5" applyFont="1" applyFill="1" applyBorder="1" applyAlignment="1">
      <alignment horizontal="center" vertical="center"/>
    </xf>
    <xf numFmtId="0" fontId="23" fillId="6" borderId="14" xfId="5" applyFont="1" applyFill="1" applyBorder="1" applyAlignment="1">
      <alignment horizontal="center" vertical="center" wrapText="1"/>
    </xf>
    <xf numFmtId="0" fontId="23" fillId="6" borderId="1" xfId="5" applyFont="1" applyFill="1" applyBorder="1" applyAlignment="1">
      <alignment horizontal="center" vertical="center" wrapText="1"/>
    </xf>
    <xf numFmtId="0" fontId="23" fillId="8" borderId="14" xfId="5" applyFont="1" applyFill="1" applyBorder="1" applyAlignment="1">
      <alignment horizontal="center" vertical="center"/>
    </xf>
    <xf numFmtId="0" fontId="23" fillId="8" borderId="1" xfId="5" applyFont="1" applyFill="1" applyBorder="1" applyAlignment="1">
      <alignment horizontal="center" vertical="center"/>
    </xf>
    <xf numFmtId="0" fontId="23" fillId="8" borderId="13" xfId="5" applyFont="1" applyFill="1" applyBorder="1" applyAlignment="1">
      <alignment horizontal="center" vertical="center"/>
    </xf>
    <xf numFmtId="0" fontId="23" fillId="4" borderId="14" xfId="5" applyFont="1" applyFill="1" applyBorder="1" applyAlignment="1">
      <alignment horizontal="center" vertical="center" wrapText="1"/>
    </xf>
    <xf numFmtId="0" fontId="23" fillId="4" borderId="1" xfId="5" applyFont="1" applyFill="1" applyBorder="1" applyAlignment="1">
      <alignment horizontal="center" vertical="center" wrapText="1"/>
    </xf>
    <xf numFmtId="0" fontId="28" fillId="2" borderId="14" xfId="5" applyFont="1" applyFill="1" applyBorder="1" applyAlignment="1">
      <alignment horizontal="center" vertical="center" wrapText="1"/>
    </xf>
    <xf numFmtId="0" fontId="28" fillId="2" borderId="1" xfId="5" applyFont="1" applyFill="1" applyBorder="1" applyAlignment="1">
      <alignment horizontal="center" vertical="center" wrapText="1"/>
    </xf>
    <xf numFmtId="0" fontId="28" fillId="2" borderId="13" xfId="5" applyFont="1" applyFill="1" applyBorder="1" applyAlignment="1">
      <alignment horizontal="center" vertical="center" wrapText="1"/>
    </xf>
    <xf numFmtId="165" fontId="22" fillId="2" borderId="1" xfId="5" applyNumberFormat="1" applyFont="1" applyFill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justify" vertical="center"/>
    </xf>
    <xf numFmtId="0" fontId="22" fillId="0" borderId="1" xfId="0" applyFont="1" applyBorder="1" applyAlignment="1">
      <alignment horizontal="center" vertical="center" wrapText="1"/>
    </xf>
    <xf numFmtId="164" fontId="23" fillId="2" borderId="1" xfId="2" applyNumberFormat="1" applyFont="1" applyFill="1" applyBorder="1" applyAlignment="1">
      <alignment horizontal="justify" vertical="center"/>
    </xf>
    <xf numFmtId="165" fontId="23" fillId="2" borderId="1" xfId="1" applyNumberFormat="1" applyFont="1" applyFill="1" applyBorder="1" applyAlignment="1">
      <alignment horizontal="center" vertical="center" wrapText="1"/>
    </xf>
    <xf numFmtId="165" fontId="23" fillId="2" borderId="13" xfId="1" applyNumberFormat="1" applyFont="1" applyFill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center" vertical="center" wrapText="1"/>
    </xf>
    <xf numFmtId="0" fontId="22" fillId="2" borderId="13" xfId="4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1" xfId="5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justify" vertical="center"/>
    </xf>
    <xf numFmtId="164" fontId="25" fillId="2" borderId="1" xfId="2" applyNumberFormat="1" applyFont="1" applyFill="1" applyBorder="1" applyAlignment="1">
      <alignment horizontal="justify" vertical="center"/>
    </xf>
    <xf numFmtId="164" fontId="23" fillId="2" borderId="1" xfId="2" applyNumberFormat="1" applyFont="1" applyFill="1" applyBorder="1" applyAlignment="1">
      <alignment horizontal="center" vertical="center"/>
    </xf>
    <xf numFmtId="0" fontId="23" fillId="6" borderId="18" xfId="0" applyFont="1" applyFill="1" applyBorder="1" applyAlignment="1">
      <alignment horizontal="center" vertical="center"/>
    </xf>
    <xf numFmtId="0" fontId="23" fillId="6" borderId="19" xfId="0" applyFont="1" applyFill="1" applyBorder="1" applyAlignment="1">
      <alignment horizontal="center" vertical="center"/>
    </xf>
    <xf numFmtId="0" fontId="23" fillId="6" borderId="20" xfId="0" applyFont="1" applyFill="1" applyBorder="1" applyAlignment="1">
      <alignment horizontal="center" vertical="center"/>
    </xf>
    <xf numFmtId="0" fontId="23" fillId="4" borderId="14" xfId="3" applyFont="1" applyFill="1" applyBorder="1" applyAlignment="1">
      <alignment horizontal="center" vertical="center" wrapText="1"/>
    </xf>
    <xf numFmtId="0" fontId="23" fillId="4" borderId="1" xfId="3" applyFont="1" applyFill="1" applyBorder="1" applyAlignment="1">
      <alignment horizontal="center" vertical="center" wrapText="1"/>
    </xf>
    <xf numFmtId="0" fontId="23" fillId="4" borderId="13" xfId="3" applyFont="1" applyFill="1" applyBorder="1" applyAlignment="1">
      <alignment horizontal="center" vertical="center" wrapText="1"/>
    </xf>
    <xf numFmtId="0" fontId="23" fillId="2" borderId="14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/>
    </xf>
    <xf numFmtId="0" fontId="23" fillId="2" borderId="13" xfId="3" applyFont="1" applyFill="1" applyBorder="1" applyAlignment="1">
      <alignment horizontal="center" vertical="center"/>
    </xf>
    <xf numFmtId="0" fontId="23" fillId="2" borderId="1" xfId="3" applyFont="1" applyFill="1" applyBorder="1" applyAlignment="1">
      <alignment horizontal="center" vertical="center" wrapText="1"/>
    </xf>
    <xf numFmtId="0" fontId="23" fillId="2" borderId="13" xfId="3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center" wrapText="1"/>
    </xf>
    <xf numFmtId="0" fontId="22" fillId="2" borderId="13" xfId="3" applyFont="1" applyFill="1" applyBorder="1" applyAlignment="1">
      <alignment horizontal="center" vertical="center" wrapText="1"/>
    </xf>
    <xf numFmtId="0" fontId="22" fillId="2" borderId="1" xfId="3" applyFont="1" applyFill="1" applyBorder="1" applyAlignment="1">
      <alignment horizontal="center" vertical="top" wrapText="1"/>
    </xf>
    <xf numFmtId="0" fontId="22" fillId="2" borderId="13" xfId="3" applyFont="1" applyFill="1" applyBorder="1" applyAlignment="1">
      <alignment horizontal="center" vertical="top" wrapText="1"/>
    </xf>
    <xf numFmtId="0" fontId="23" fillId="2" borderId="14" xfId="5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4" fillId="7" borderId="3" xfId="0" applyFont="1" applyFill="1" applyBorder="1" applyAlignment="1">
      <alignment horizontal="center"/>
    </xf>
    <xf numFmtId="0" fontId="24" fillId="7" borderId="2" xfId="0" applyFont="1" applyFill="1" applyBorder="1" applyAlignment="1">
      <alignment horizontal="center"/>
    </xf>
    <xf numFmtId="0" fontId="24" fillId="7" borderId="4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7" borderId="28" xfId="0" applyFont="1" applyFill="1" applyBorder="1" applyAlignment="1">
      <alignment horizontal="center" vertical="center"/>
    </xf>
    <xf numFmtId="0" fontId="2" fillId="7" borderId="29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3" fillId="5" borderId="21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0" fontId="23" fillId="5" borderId="43" xfId="0" applyFont="1" applyFill="1" applyBorder="1" applyAlignment="1">
      <alignment horizontal="center" vertical="center"/>
    </xf>
    <xf numFmtId="0" fontId="23" fillId="7" borderId="18" xfId="0" applyFont="1" applyFill="1" applyBorder="1" applyAlignment="1">
      <alignment horizontal="center" vertical="center"/>
    </xf>
    <xf numFmtId="0" fontId="23" fillId="7" borderId="19" xfId="0" applyFont="1" applyFill="1" applyBorder="1" applyAlignment="1">
      <alignment horizontal="center" vertical="center"/>
    </xf>
    <xf numFmtId="0" fontId="23" fillId="7" borderId="20" xfId="0" applyFont="1" applyFill="1" applyBorder="1" applyAlignment="1">
      <alignment horizontal="center" vertical="center"/>
    </xf>
    <xf numFmtId="165" fontId="23" fillId="5" borderId="24" xfId="7" applyNumberFormat="1" applyFont="1" applyFill="1" applyBorder="1" applyAlignment="1">
      <alignment horizontal="center" vertical="center"/>
    </xf>
    <xf numFmtId="165" fontId="23" fillId="5" borderId="25" xfId="7" applyNumberFormat="1" applyFont="1" applyFill="1" applyBorder="1" applyAlignment="1">
      <alignment horizontal="center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17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7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23" fillId="5" borderId="3" xfId="0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/>
    </xf>
  </cellXfs>
  <cellStyles count="10">
    <cellStyle name="Hyperlink" xfId="6" builtinId="8"/>
    <cellStyle name="Moeda" xfId="1" builtinId="4"/>
    <cellStyle name="Normal" xfId="0" builtinId="0"/>
    <cellStyle name="Normal 2" xfId="5"/>
    <cellStyle name="Normal 3" xfId="9"/>
    <cellStyle name="Normal 4" xfId="3"/>
    <cellStyle name="Normal 5" xfId="4"/>
    <cellStyle name="Normal 6" xfId="8"/>
    <cellStyle name="Porcentagem" xfId="2" builtinId="5"/>
    <cellStyle name="Separador de milhares" xfId="7" builtinId="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relativeIndent="255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relativeIndent="255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relativeIndent="255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opLeftCell="B1" zoomScale="145" zoomScaleNormal="145" workbookViewId="0">
      <selection activeCell="E8" sqref="E8"/>
    </sheetView>
  </sheetViews>
  <sheetFormatPr defaultRowHeight="1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>
      <c r="E1" s="1" t="s">
        <v>49</v>
      </c>
    </row>
    <row r="2" spans="1:5" ht="21">
      <c r="A2" s="210" t="s">
        <v>50</v>
      </c>
      <c r="B2" s="210"/>
      <c r="C2" s="210"/>
      <c r="E2" s="2" t="s">
        <v>51</v>
      </c>
    </row>
    <row r="3" spans="1:5" ht="174" customHeight="1">
      <c r="A3" s="209" t="s">
        <v>52</v>
      </c>
      <c r="B3" s="209"/>
      <c r="C3" s="209"/>
      <c r="E3" s="4" t="s">
        <v>53</v>
      </c>
    </row>
    <row r="4" spans="1:5" ht="18.75" customHeight="1" thickBot="1">
      <c r="A4" s="5"/>
      <c r="E4" s="6"/>
    </row>
    <row r="5" spans="1:5" ht="15.75" customHeight="1" thickBot="1">
      <c r="A5" s="211" t="s">
        <v>54</v>
      </c>
      <c r="B5" s="212"/>
      <c r="C5" s="213"/>
      <c r="E5" s="7" t="s">
        <v>55</v>
      </c>
    </row>
    <row r="6" spans="1:5" ht="22.5">
      <c r="A6" s="214" t="s">
        <v>56</v>
      </c>
      <c r="B6" s="214" t="s">
        <v>57</v>
      </c>
      <c r="C6" s="8" t="s">
        <v>58</v>
      </c>
      <c r="E6" s="7" t="s">
        <v>59</v>
      </c>
    </row>
    <row r="7" spans="1:5" ht="15.75" customHeight="1" thickBot="1">
      <c r="A7" s="215"/>
      <c r="B7" s="215"/>
      <c r="C7" s="9" t="s">
        <v>60</v>
      </c>
      <c r="E7" s="7" t="s">
        <v>61</v>
      </c>
    </row>
    <row r="8" spans="1:5" ht="15.75" thickBot="1">
      <c r="A8" s="10" t="s">
        <v>62</v>
      </c>
      <c r="B8" s="8">
        <v>30</v>
      </c>
      <c r="C8" s="8">
        <v>7</v>
      </c>
      <c r="D8">
        <f>(7/30)/12</f>
        <v>1.94444444444444E-2</v>
      </c>
      <c r="E8" s="11" t="s">
        <v>63</v>
      </c>
    </row>
    <row r="9" spans="1:5" ht="13.5" customHeight="1">
      <c r="A9" s="12" t="s">
        <v>64</v>
      </c>
      <c r="B9" s="13">
        <v>33</v>
      </c>
      <c r="C9" s="13">
        <v>8</v>
      </c>
      <c r="D9">
        <f>(3/30)/12</f>
        <v>8.3333333333333297E-3</v>
      </c>
    </row>
    <row r="10" spans="1:5" ht="13.5" customHeight="1">
      <c r="A10" s="12" t="s">
        <v>65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>
      <c r="A11" s="12" t="s">
        <v>66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>
      <c r="A12" s="14" t="s">
        <v>67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>
      <c r="A13" s="12" t="s">
        <v>68</v>
      </c>
      <c r="B13" s="13">
        <v>45</v>
      </c>
      <c r="C13" s="13">
        <v>11</v>
      </c>
      <c r="D13">
        <f t="shared" si="0"/>
        <v>8.3333333333333297E-3</v>
      </c>
      <c r="E13" t="s">
        <v>90</v>
      </c>
    </row>
    <row r="14" spans="1:5">
      <c r="A14" s="12" t="s">
        <v>69</v>
      </c>
      <c r="B14" s="13">
        <v>48</v>
      </c>
      <c r="C14" s="13">
        <v>11</v>
      </c>
      <c r="E14" t="s">
        <v>48</v>
      </c>
    </row>
    <row r="15" spans="1:5">
      <c r="A15" s="12" t="s">
        <v>70</v>
      </c>
      <c r="B15" s="13">
        <v>51</v>
      </c>
      <c r="C15" s="13">
        <v>12</v>
      </c>
    </row>
    <row r="16" spans="1:5">
      <c r="A16" s="12" t="s">
        <v>71</v>
      </c>
      <c r="B16" s="13">
        <v>54</v>
      </c>
      <c r="C16" s="13">
        <v>13</v>
      </c>
    </row>
    <row r="17" spans="1:5">
      <c r="A17" s="12" t="s">
        <v>72</v>
      </c>
      <c r="B17" s="13">
        <v>57</v>
      </c>
      <c r="C17" s="13">
        <v>13</v>
      </c>
    </row>
    <row r="18" spans="1:5">
      <c r="A18" s="12" t="s">
        <v>73</v>
      </c>
      <c r="B18" s="13">
        <v>60</v>
      </c>
      <c r="C18" s="13">
        <v>14</v>
      </c>
    </row>
    <row r="19" spans="1:5">
      <c r="A19" s="12" t="s">
        <v>74</v>
      </c>
      <c r="B19" s="13">
        <v>63</v>
      </c>
      <c r="C19" s="13">
        <v>15</v>
      </c>
    </row>
    <row r="20" spans="1:5">
      <c r="A20" s="12" t="s">
        <v>75</v>
      </c>
      <c r="B20" s="13">
        <v>66</v>
      </c>
      <c r="C20" s="13">
        <v>15</v>
      </c>
    </row>
    <row r="21" spans="1:5">
      <c r="A21" s="12" t="s">
        <v>76</v>
      </c>
      <c r="B21" s="13">
        <v>69</v>
      </c>
      <c r="C21" s="13">
        <v>16</v>
      </c>
    </row>
    <row r="22" spans="1:5">
      <c r="A22" s="12" t="s">
        <v>77</v>
      </c>
      <c r="B22" s="13">
        <v>72</v>
      </c>
      <c r="C22" s="13">
        <v>17</v>
      </c>
    </row>
    <row r="23" spans="1:5">
      <c r="A23" s="12" t="s">
        <v>78</v>
      </c>
      <c r="B23" s="13">
        <v>75</v>
      </c>
      <c r="C23" s="13">
        <v>18</v>
      </c>
    </row>
    <row r="24" spans="1:5">
      <c r="A24" s="12" t="s">
        <v>79</v>
      </c>
      <c r="B24" s="13">
        <v>78</v>
      </c>
      <c r="C24" s="13">
        <v>18</v>
      </c>
    </row>
    <row r="25" spans="1:5">
      <c r="A25" s="12" t="s">
        <v>80</v>
      </c>
      <c r="B25" s="13">
        <v>81</v>
      </c>
      <c r="C25" s="13">
        <v>19</v>
      </c>
    </row>
    <row r="26" spans="1:5">
      <c r="A26" s="12" t="s">
        <v>81</v>
      </c>
      <c r="B26" s="13">
        <v>84</v>
      </c>
      <c r="C26" s="13">
        <v>20</v>
      </c>
    </row>
    <row r="27" spans="1:5">
      <c r="A27" s="12" t="s">
        <v>82</v>
      </c>
      <c r="B27" s="13">
        <v>87</v>
      </c>
      <c r="C27" s="13">
        <v>20</v>
      </c>
    </row>
    <row r="28" spans="1:5" ht="15.75" thickBot="1">
      <c r="A28" s="16" t="s">
        <v>83</v>
      </c>
      <c r="B28" s="9">
        <v>90</v>
      </c>
      <c r="C28" s="9">
        <v>21</v>
      </c>
      <c r="E28" s="17" t="s">
        <v>84</v>
      </c>
    </row>
    <row r="29" spans="1:5" ht="18.75">
      <c r="A29" s="5"/>
    </row>
    <row r="30" spans="1:5" ht="145.5" customHeight="1">
      <c r="A30" s="216" t="s">
        <v>85</v>
      </c>
      <c r="B30" s="216"/>
      <c r="C30" s="216"/>
    </row>
    <row r="31" spans="1:5" ht="18.75">
      <c r="A31" s="5"/>
    </row>
    <row r="32" spans="1:5" ht="18.75">
      <c r="A32" s="18" t="s">
        <v>86</v>
      </c>
    </row>
    <row r="33" spans="1:3" ht="18.75">
      <c r="A33" s="5"/>
    </row>
    <row r="34" spans="1:3">
      <c r="A34" s="209" t="s">
        <v>87</v>
      </c>
      <c r="B34" s="209"/>
      <c r="C34" s="209"/>
    </row>
    <row r="35" spans="1:3">
      <c r="A35" s="209"/>
      <c r="B35" s="209"/>
      <c r="C35" s="209"/>
    </row>
    <row r="36" spans="1:3">
      <c r="A36" s="209" t="s">
        <v>88</v>
      </c>
      <c r="B36" s="209"/>
      <c r="C36" s="209"/>
    </row>
    <row r="37" spans="1:3">
      <c r="A37" s="209"/>
      <c r="B37" s="209"/>
      <c r="C37" s="209"/>
    </row>
    <row r="40" spans="1:3">
      <c r="A40" s="19" t="s">
        <v>89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2"/>
  <sheetViews>
    <sheetView topLeftCell="A7" workbookViewId="0">
      <selection activeCell="E8" sqref="E8"/>
    </sheetView>
  </sheetViews>
  <sheetFormatPr defaultColWidth="42.85546875" defaultRowHeight="18.75"/>
  <cols>
    <col min="1" max="1" width="42.85546875" style="3"/>
    <col min="2" max="2" width="72.5703125" style="3" customWidth="1"/>
    <col min="3" max="16384" width="42.85546875" style="20"/>
  </cols>
  <sheetData>
    <row r="1" spans="1:2" ht="19.5" thickBot="1">
      <c r="A1" s="217" t="s">
        <v>91</v>
      </c>
      <c r="B1" s="217"/>
    </row>
    <row r="2" spans="1:2" ht="19.5" thickBot="1">
      <c r="A2" s="21" t="s">
        <v>92</v>
      </c>
      <c r="B2" s="21" t="s">
        <v>93</v>
      </c>
    </row>
    <row r="3" spans="1:2" ht="19.5" thickBot="1">
      <c r="A3" s="22" t="s">
        <v>94</v>
      </c>
      <c r="B3" s="23" t="s">
        <v>95</v>
      </c>
    </row>
    <row r="4" spans="1:2" ht="57" thickBot="1">
      <c r="A4" s="24" t="s">
        <v>96</v>
      </c>
      <c r="B4" s="25" t="s">
        <v>97</v>
      </c>
    </row>
    <row r="5" spans="1:2" ht="19.5" thickBot="1">
      <c r="A5" s="24" t="s">
        <v>98</v>
      </c>
      <c r="B5" s="25" t="s">
        <v>99</v>
      </c>
    </row>
    <row r="6" spans="1:2" ht="94.5" thickBot="1">
      <c r="A6" s="24" t="s">
        <v>100</v>
      </c>
      <c r="B6" s="25" t="s">
        <v>101</v>
      </c>
    </row>
    <row r="7" spans="1:2" ht="38.25" thickBot="1">
      <c r="A7" s="24" t="s">
        <v>102</v>
      </c>
      <c r="B7" s="25" t="s">
        <v>103</v>
      </c>
    </row>
    <row r="8" spans="1:2" ht="19.5" thickBot="1">
      <c r="A8" s="24" t="s">
        <v>104</v>
      </c>
      <c r="B8" s="25" t="s">
        <v>105</v>
      </c>
    </row>
    <row r="9" spans="1:2" ht="38.25" thickBot="1">
      <c r="A9" s="24" t="s">
        <v>106</v>
      </c>
      <c r="B9" s="25" t="s">
        <v>107</v>
      </c>
    </row>
    <row r="10" spans="1:2" ht="57" thickBot="1">
      <c r="A10" s="24" t="s">
        <v>108</v>
      </c>
      <c r="B10" s="25" t="s">
        <v>109</v>
      </c>
    </row>
    <row r="11" spans="1:2" ht="75.75" thickBot="1">
      <c r="A11" s="24" t="s">
        <v>110</v>
      </c>
      <c r="B11" s="25" t="s">
        <v>111</v>
      </c>
    </row>
    <row r="12" spans="1:2" ht="57" thickBot="1">
      <c r="A12" s="24" t="s">
        <v>108</v>
      </c>
      <c r="B12" s="25" t="s">
        <v>112</v>
      </c>
    </row>
    <row r="13" spans="1:2" ht="38.25" thickBot="1">
      <c r="A13" s="24" t="s">
        <v>108</v>
      </c>
      <c r="B13" s="25" t="s">
        <v>113</v>
      </c>
    </row>
    <row r="14" spans="1:2" ht="57" thickBot="1">
      <c r="A14" s="24" t="s">
        <v>108</v>
      </c>
      <c r="B14" s="25" t="s">
        <v>114</v>
      </c>
    </row>
    <row r="15" spans="1:2" ht="19.5" thickBot="1">
      <c r="A15" s="24" t="s">
        <v>108</v>
      </c>
      <c r="B15" s="25" t="s">
        <v>115</v>
      </c>
    </row>
    <row r="16" spans="1:2" ht="38.25" thickBot="1">
      <c r="A16" s="24" t="s">
        <v>116</v>
      </c>
      <c r="B16" s="25" t="s">
        <v>117</v>
      </c>
    </row>
    <row r="17" spans="1:2" ht="38.25" thickBot="1">
      <c r="A17" s="24" t="s">
        <v>118</v>
      </c>
      <c r="B17" s="25" t="s">
        <v>119</v>
      </c>
    </row>
    <row r="18" spans="1:2" ht="38.25" thickBot="1">
      <c r="A18" s="24" t="s">
        <v>108</v>
      </c>
      <c r="B18" s="25" t="s">
        <v>120</v>
      </c>
    </row>
    <row r="19" spans="1:2" ht="57" thickBot="1">
      <c r="A19" s="24" t="s">
        <v>108</v>
      </c>
      <c r="B19" s="25" t="s">
        <v>121</v>
      </c>
    </row>
    <row r="20" spans="1:2" ht="38.25" thickBot="1">
      <c r="A20" s="24" t="s">
        <v>108</v>
      </c>
      <c r="B20" s="25" t="s">
        <v>122</v>
      </c>
    </row>
    <row r="21" spans="1:2" ht="57" thickBot="1">
      <c r="A21" s="24" t="s">
        <v>108</v>
      </c>
      <c r="B21" s="25" t="s">
        <v>123</v>
      </c>
    </row>
    <row r="22" spans="1:2">
      <c r="A22" s="26" t="s">
        <v>108</v>
      </c>
      <c r="B22" s="27" t="s">
        <v>124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SheetLayoutView="100" workbookViewId="0">
      <selection activeCell="N13" sqref="N13"/>
    </sheetView>
  </sheetViews>
  <sheetFormatPr defaultRowHeight="15"/>
  <cols>
    <col min="2" max="2" width="50.7109375" customWidth="1"/>
    <col min="3" max="7" width="15.7109375" customWidth="1"/>
  </cols>
  <sheetData>
    <row r="1" spans="1:7" ht="15" customHeight="1" thickBot="1">
      <c r="A1" s="221" t="s">
        <v>194</v>
      </c>
      <c r="B1" s="222"/>
      <c r="C1" s="222"/>
      <c r="D1" s="222"/>
      <c r="E1" s="222"/>
      <c r="F1" s="222"/>
      <c r="G1" s="223"/>
    </row>
    <row r="2" spans="1:7" ht="15" customHeight="1" thickBot="1">
      <c r="A2" s="224"/>
      <c r="B2" s="225"/>
      <c r="C2" s="225"/>
      <c r="D2" s="225"/>
      <c r="E2" s="225"/>
      <c r="F2" s="225"/>
      <c r="G2" s="226"/>
    </row>
    <row r="3" spans="1:7" ht="15" customHeight="1" thickBot="1">
      <c r="A3" s="227" t="s">
        <v>199</v>
      </c>
      <c r="B3" s="228"/>
      <c r="C3" s="228"/>
      <c r="D3" s="228"/>
      <c r="E3" s="228"/>
      <c r="F3" s="228"/>
      <c r="G3" s="229"/>
    </row>
    <row r="4" spans="1:7" ht="30" customHeight="1">
      <c r="A4" s="152" t="s">
        <v>134</v>
      </c>
      <c r="B4" s="230" t="s">
        <v>203</v>
      </c>
      <c r="C4" s="230"/>
      <c r="D4" s="153" t="s">
        <v>292</v>
      </c>
      <c r="E4" s="154" t="s">
        <v>265</v>
      </c>
      <c r="F4" s="154" t="s">
        <v>262</v>
      </c>
      <c r="G4" s="155" t="s">
        <v>261</v>
      </c>
    </row>
    <row r="5" spans="1:7" ht="15" customHeight="1">
      <c r="A5" s="102">
        <v>1</v>
      </c>
      <c r="B5" s="231" t="s">
        <v>263</v>
      </c>
      <c r="C5" s="231"/>
      <c r="D5" s="204">
        <v>4</v>
      </c>
      <c r="E5" s="156">
        <f>'Auxiliar de Lavanderia'!E112</f>
        <v>8134.06</v>
      </c>
      <c r="F5" s="156">
        <f>E5*D5</f>
        <v>32536.240000000002</v>
      </c>
      <c r="G5" s="157">
        <f>F5*12</f>
        <v>390434.88</v>
      </c>
    </row>
    <row r="6" spans="1:7" ht="15" customHeight="1" thickBot="1">
      <c r="A6" s="151">
        <v>2</v>
      </c>
      <c r="B6" s="232" t="s">
        <v>264</v>
      </c>
      <c r="C6" s="232"/>
      <c r="D6" s="205">
        <v>1</v>
      </c>
      <c r="E6" s="158">
        <f>'Costureira '!E112</f>
        <v>10114.52</v>
      </c>
      <c r="F6" s="158">
        <f>E6*D6</f>
        <v>10114.52</v>
      </c>
      <c r="G6" s="159">
        <f>F6*12</f>
        <v>121374.24</v>
      </c>
    </row>
    <row r="7" spans="1:7" ht="15" customHeight="1" thickBot="1">
      <c r="A7" s="227" t="s">
        <v>200</v>
      </c>
      <c r="B7" s="228"/>
      <c r="C7" s="228"/>
      <c r="D7" s="228"/>
      <c r="E7" s="233"/>
      <c r="F7" s="160">
        <f>SUM(F5:F6)</f>
        <v>42650.76</v>
      </c>
      <c r="G7" s="161">
        <f>SUM(G5:G6)</f>
        <v>511809.12</v>
      </c>
    </row>
    <row r="8" spans="1:7" ht="15" customHeight="1" thickBot="1">
      <c r="A8" s="164"/>
      <c r="B8" s="165"/>
      <c r="C8" s="165"/>
      <c r="D8" s="165"/>
      <c r="E8" s="165"/>
      <c r="F8" s="165"/>
      <c r="G8" s="166"/>
    </row>
    <row r="9" spans="1:7" ht="15" customHeight="1" thickBot="1">
      <c r="A9" s="234" t="s">
        <v>266</v>
      </c>
      <c r="B9" s="235"/>
      <c r="C9" s="235"/>
      <c r="D9" s="235"/>
      <c r="E9" s="235"/>
      <c r="F9" s="235"/>
      <c r="G9" s="236"/>
    </row>
    <row r="10" spans="1:7" ht="30" customHeight="1">
      <c r="A10" s="93" t="s">
        <v>134</v>
      </c>
      <c r="B10" s="94" t="s">
        <v>203</v>
      </c>
      <c r="C10" s="94" t="s">
        <v>195</v>
      </c>
      <c r="D10" s="94" t="s">
        <v>205</v>
      </c>
      <c r="E10" s="94" t="s">
        <v>206</v>
      </c>
      <c r="F10" s="94" t="s">
        <v>207</v>
      </c>
      <c r="G10" s="95" t="s">
        <v>208</v>
      </c>
    </row>
    <row r="11" spans="1:7" ht="129.94999999999999" customHeight="1" thickBot="1">
      <c r="A11" s="116">
        <v>1</v>
      </c>
      <c r="B11" s="208" t="s">
        <v>204</v>
      </c>
      <c r="C11" s="117" t="s">
        <v>201</v>
      </c>
      <c r="D11" s="118">
        <v>4150</v>
      </c>
      <c r="E11" s="118">
        <f>D11*12</f>
        <v>49800</v>
      </c>
      <c r="F11" s="162">
        <f>G7/E11</f>
        <v>10.28</v>
      </c>
      <c r="G11" s="163">
        <f>G7</f>
        <v>511809.12</v>
      </c>
    </row>
    <row r="12" spans="1:7" ht="15" customHeight="1" thickBot="1">
      <c r="A12" s="237" t="s">
        <v>200</v>
      </c>
      <c r="B12" s="238"/>
      <c r="C12" s="238"/>
      <c r="D12" s="238"/>
      <c r="E12" s="238"/>
      <c r="F12" s="239"/>
      <c r="G12" s="161">
        <f>G11</f>
        <v>511809.12</v>
      </c>
    </row>
    <row r="13" spans="1:7" ht="15" customHeight="1" thickBot="1">
      <c r="A13" s="164"/>
      <c r="B13" s="165"/>
      <c r="C13" s="165"/>
      <c r="D13" s="165"/>
      <c r="E13" s="165"/>
      <c r="F13" s="165"/>
      <c r="G13" s="166"/>
    </row>
    <row r="14" spans="1:7" ht="15" customHeight="1" thickBot="1">
      <c r="A14" s="234" t="s">
        <v>267</v>
      </c>
      <c r="B14" s="235"/>
      <c r="C14" s="235"/>
      <c r="D14" s="235"/>
      <c r="E14" s="235"/>
      <c r="F14" s="235"/>
      <c r="G14" s="236"/>
    </row>
    <row r="15" spans="1:7" ht="15" customHeight="1">
      <c r="A15" s="115" t="s">
        <v>134</v>
      </c>
      <c r="B15" s="203" t="s">
        <v>203</v>
      </c>
      <c r="C15" s="240" t="s">
        <v>268</v>
      </c>
      <c r="D15" s="241"/>
      <c r="E15" s="241"/>
      <c r="F15" s="241"/>
      <c r="G15" s="242"/>
    </row>
    <row r="16" spans="1:7" ht="15" customHeight="1">
      <c r="A16" s="112">
        <v>1</v>
      </c>
      <c r="B16" s="111" t="s">
        <v>269</v>
      </c>
      <c r="C16" s="218">
        <f>F11</f>
        <v>10.28</v>
      </c>
      <c r="D16" s="219"/>
      <c r="E16" s="219"/>
      <c r="F16" s="219"/>
      <c r="G16" s="220"/>
    </row>
    <row r="17" spans="1:7" ht="15" customHeight="1">
      <c r="A17" s="112">
        <v>2</v>
      </c>
      <c r="B17" s="111" t="s">
        <v>270</v>
      </c>
      <c r="C17" s="218">
        <f>F7</f>
        <v>42650.76</v>
      </c>
      <c r="D17" s="219"/>
      <c r="E17" s="219"/>
      <c r="F17" s="219"/>
      <c r="G17" s="220"/>
    </row>
    <row r="18" spans="1:7" ht="15" customHeight="1" thickBot="1">
      <c r="A18" s="113">
        <v>3</v>
      </c>
      <c r="B18" s="114" t="s">
        <v>271</v>
      </c>
      <c r="C18" s="243">
        <f>G12</f>
        <v>511809.12</v>
      </c>
      <c r="D18" s="244"/>
      <c r="E18" s="244"/>
      <c r="F18" s="244"/>
      <c r="G18" s="245"/>
    </row>
    <row r="19" spans="1:7" ht="15" customHeight="1" thickBot="1">
      <c r="A19" s="246"/>
      <c r="B19" s="247"/>
      <c r="C19" s="247"/>
      <c r="D19" s="247"/>
      <c r="E19" s="247"/>
      <c r="F19" s="247"/>
      <c r="G19" s="248"/>
    </row>
    <row r="20" spans="1:7" ht="15" customHeight="1" thickBot="1">
      <c r="A20" s="164"/>
      <c r="B20" s="165"/>
      <c r="C20" s="165"/>
      <c r="D20" s="165"/>
      <c r="E20" s="165"/>
      <c r="F20" s="165"/>
      <c r="G20" s="166"/>
    </row>
    <row r="21" spans="1:7" ht="15" customHeight="1" thickBot="1">
      <c r="A21" s="249" t="s">
        <v>290</v>
      </c>
      <c r="B21" s="250"/>
      <c r="C21" s="250"/>
      <c r="D21" s="250"/>
      <c r="E21" s="250"/>
      <c r="F21" s="250"/>
      <c r="G21" s="251"/>
    </row>
    <row r="22" spans="1:7" ht="30" customHeight="1" thickBot="1">
      <c r="A22" s="252" t="s">
        <v>291</v>
      </c>
      <c r="B22" s="253"/>
      <c r="C22" s="253"/>
      <c r="D22" s="253"/>
      <c r="E22" s="253"/>
      <c r="F22" s="253"/>
      <c r="G22" s="254"/>
    </row>
  </sheetData>
  <mergeCells count="17">
    <mergeCell ref="C17:G17"/>
    <mergeCell ref="C18:G18"/>
    <mergeCell ref="A19:G19"/>
    <mergeCell ref="A21:G21"/>
    <mergeCell ref="A22:G22"/>
    <mergeCell ref="C16:G16"/>
    <mergeCell ref="A1:G1"/>
    <mergeCell ref="A2:G2"/>
    <mergeCell ref="A3:G3"/>
    <mergeCell ref="B4:C4"/>
    <mergeCell ref="B5:C5"/>
    <mergeCell ref="B6:C6"/>
    <mergeCell ref="A7:E7"/>
    <mergeCell ref="A9:G9"/>
    <mergeCell ref="A12:F12"/>
    <mergeCell ref="A14:G14"/>
    <mergeCell ref="C15:G15"/>
  </mergeCells>
  <pageMargins left="0.511811024" right="0.511811024" top="0.78740157499999996" bottom="0.78740157499999996" header="0.31496062000000002" footer="0.31496062000000002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2"/>
  <sheetViews>
    <sheetView view="pageBreakPreview" topLeftCell="A12" zoomScaleNormal="115" zoomScaleSheetLayoutView="100" workbookViewId="0">
      <selection activeCell="B19" sqref="B19"/>
    </sheetView>
  </sheetViews>
  <sheetFormatPr defaultColWidth="9.140625" defaultRowHeight="15.75"/>
  <cols>
    <col min="1" max="1" width="8.7109375" style="29" customWidth="1"/>
    <col min="2" max="2" width="70.7109375" style="31" customWidth="1"/>
    <col min="3" max="3" width="12.7109375" style="31" customWidth="1"/>
    <col min="4" max="4" width="8.7109375" style="32" customWidth="1"/>
    <col min="5" max="5" width="12.7109375" style="34" customWidth="1"/>
    <col min="6" max="16384" width="9.140625" style="28"/>
  </cols>
  <sheetData>
    <row r="1" spans="1:5">
      <c r="A1" s="298"/>
      <c r="B1" s="299"/>
      <c r="C1" s="299"/>
      <c r="D1" s="299"/>
      <c r="E1" s="300"/>
    </row>
    <row r="2" spans="1:5" s="35" customFormat="1" ht="16.5" customHeight="1">
      <c r="A2" s="301"/>
      <c r="B2" s="302"/>
      <c r="C2" s="302"/>
      <c r="D2" s="302"/>
      <c r="E2" s="303"/>
    </row>
    <row r="3" spans="1:5" s="35" customFormat="1">
      <c r="A3" s="304" t="s">
        <v>125</v>
      </c>
      <c r="B3" s="305"/>
      <c r="C3" s="305"/>
      <c r="D3" s="305"/>
      <c r="E3" s="306"/>
    </row>
    <row r="4" spans="1:5" s="35" customFormat="1" ht="15" customHeight="1">
      <c r="A4" s="43" t="s">
        <v>0</v>
      </c>
      <c r="B4" s="44" t="s">
        <v>1</v>
      </c>
      <c r="C4" s="307">
        <v>2025</v>
      </c>
      <c r="D4" s="307"/>
      <c r="E4" s="308"/>
    </row>
    <row r="5" spans="1:5" s="35" customFormat="1" ht="75" customHeight="1">
      <c r="A5" s="43" t="s">
        <v>2</v>
      </c>
      <c r="B5" s="44" t="s">
        <v>133</v>
      </c>
      <c r="C5" s="309" t="s">
        <v>274</v>
      </c>
      <c r="D5" s="309"/>
      <c r="E5" s="310"/>
    </row>
    <row r="6" spans="1:5" s="35" customFormat="1" ht="15.75" customHeight="1">
      <c r="A6" s="43" t="s">
        <v>3</v>
      </c>
      <c r="B6" s="44" t="s">
        <v>4</v>
      </c>
      <c r="C6" s="311" t="s">
        <v>300</v>
      </c>
      <c r="D6" s="311"/>
      <c r="E6" s="312"/>
    </row>
    <row r="7" spans="1:5" s="35" customFormat="1">
      <c r="A7" s="43"/>
      <c r="B7" s="44" t="s">
        <v>178</v>
      </c>
      <c r="C7" s="309">
        <v>12</v>
      </c>
      <c r="D7" s="309"/>
      <c r="E7" s="310"/>
    </row>
    <row r="8" spans="1:5" s="35" customFormat="1">
      <c r="A8" s="304" t="s">
        <v>6</v>
      </c>
      <c r="B8" s="305"/>
      <c r="C8" s="305"/>
      <c r="D8" s="305"/>
      <c r="E8" s="306"/>
    </row>
    <row r="9" spans="1:5" s="35" customFormat="1">
      <c r="A9" s="304" t="s">
        <v>7</v>
      </c>
      <c r="B9" s="305"/>
      <c r="C9" s="305"/>
      <c r="D9" s="305"/>
      <c r="E9" s="306"/>
    </row>
    <row r="10" spans="1:5" s="35" customFormat="1" ht="15.75" customHeight="1">
      <c r="A10" s="304" t="s">
        <v>8</v>
      </c>
      <c r="B10" s="305"/>
      <c r="C10" s="305"/>
      <c r="D10" s="305"/>
      <c r="E10" s="306"/>
    </row>
    <row r="11" spans="1:5" s="35" customFormat="1" ht="30" customHeight="1">
      <c r="A11" s="313" t="s">
        <v>9</v>
      </c>
      <c r="B11" s="256"/>
      <c r="C11" s="256"/>
      <c r="D11" s="256"/>
      <c r="E11" s="79" t="s">
        <v>10</v>
      </c>
    </row>
    <row r="12" spans="1:5" s="35" customFormat="1" ht="75" customHeight="1">
      <c r="A12" s="43">
        <v>1</v>
      </c>
      <c r="B12" s="45" t="s">
        <v>126</v>
      </c>
      <c r="C12" s="289" t="s">
        <v>274</v>
      </c>
      <c r="D12" s="289"/>
      <c r="E12" s="290"/>
    </row>
    <row r="13" spans="1:5" s="35" customFormat="1" ht="30" customHeight="1">
      <c r="A13" s="43">
        <v>2</v>
      </c>
      <c r="B13" s="45" t="s">
        <v>11</v>
      </c>
      <c r="C13" s="287">
        <v>2134.92</v>
      </c>
      <c r="D13" s="287"/>
      <c r="E13" s="288"/>
    </row>
    <row r="14" spans="1:5" s="35" customFormat="1" ht="15" customHeight="1">
      <c r="A14" s="43">
        <v>3</v>
      </c>
      <c r="B14" s="45" t="s">
        <v>12</v>
      </c>
      <c r="C14" s="289" t="s">
        <v>272</v>
      </c>
      <c r="D14" s="289"/>
      <c r="E14" s="290"/>
    </row>
    <row r="15" spans="1:5" s="35" customFormat="1" ht="15" customHeight="1">
      <c r="A15" s="43">
        <v>4</v>
      </c>
      <c r="B15" s="187" t="s">
        <v>13</v>
      </c>
      <c r="C15" s="291">
        <v>45673</v>
      </c>
      <c r="D15" s="292"/>
      <c r="E15" s="293"/>
    </row>
    <row r="16" spans="1:5" s="36" customFormat="1">
      <c r="A16" s="274" t="s">
        <v>14</v>
      </c>
      <c r="B16" s="275"/>
      <c r="C16" s="275"/>
      <c r="D16" s="275"/>
      <c r="E16" s="276"/>
    </row>
    <row r="17" spans="1:5" s="36" customFormat="1">
      <c r="A17" s="188">
        <v>1</v>
      </c>
      <c r="B17" s="294" t="s">
        <v>15</v>
      </c>
      <c r="C17" s="294"/>
      <c r="D17" s="294"/>
      <c r="E17" s="60" t="s">
        <v>10</v>
      </c>
    </row>
    <row r="18" spans="1:5" s="35" customFormat="1" ht="15.75" customHeight="1">
      <c r="A18" s="46" t="s">
        <v>0</v>
      </c>
      <c r="B18" s="170" t="s">
        <v>16</v>
      </c>
      <c r="C18" s="295"/>
      <c r="D18" s="295"/>
      <c r="E18" s="61">
        <f>C13</f>
        <v>2134.92</v>
      </c>
    </row>
    <row r="19" spans="1:5" s="35" customFormat="1" ht="15.75" customHeight="1">
      <c r="A19" s="46" t="s">
        <v>2</v>
      </c>
      <c r="B19" s="170" t="s">
        <v>17</v>
      </c>
      <c r="C19" s="296" t="s">
        <v>18</v>
      </c>
      <c r="D19" s="296"/>
      <c r="E19" s="62"/>
    </row>
    <row r="20" spans="1:5" s="35" customFormat="1" ht="15.75" customHeight="1">
      <c r="A20" s="46" t="s">
        <v>3</v>
      </c>
      <c r="B20" s="170" t="s">
        <v>19</v>
      </c>
      <c r="C20" s="297" t="s">
        <v>301</v>
      </c>
      <c r="D20" s="297"/>
      <c r="E20" s="62">
        <f>40%*1518</f>
        <v>607.20000000000005</v>
      </c>
    </row>
    <row r="21" spans="1:5" s="35" customFormat="1" ht="15.75" customHeight="1">
      <c r="A21" s="46" t="s">
        <v>5</v>
      </c>
      <c r="B21" s="170" t="s">
        <v>20</v>
      </c>
      <c r="C21" s="296" t="s">
        <v>21</v>
      </c>
      <c r="D21" s="296"/>
      <c r="E21" s="62"/>
    </row>
    <row r="22" spans="1:5" s="35" customFormat="1" ht="15.75" customHeight="1">
      <c r="A22" s="46" t="s">
        <v>22</v>
      </c>
      <c r="B22" s="170" t="s">
        <v>179</v>
      </c>
      <c r="C22" s="296" t="s">
        <v>23</v>
      </c>
      <c r="D22" s="296"/>
      <c r="E22" s="62"/>
    </row>
    <row r="23" spans="1:5" s="35" customFormat="1">
      <c r="A23" s="46" t="s">
        <v>24</v>
      </c>
      <c r="B23" s="170" t="s">
        <v>131</v>
      </c>
      <c r="C23" s="286"/>
      <c r="D23" s="286"/>
      <c r="E23" s="62"/>
    </row>
    <row r="24" spans="1:5" s="35" customFormat="1" ht="15.75" customHeight="1">
      <c r="A24" s="46" t="s">
        <v>25</v>
      </c>
      <c r="B24" s="171" t="s">
        <v>132</v>
      </c>
      <c r="C24" s="286"/>
      <c r="D24" s="286"/>
      <c r="E24" s="62"/>
    </row>
    <row r="25" spans="1:5" s="36" customFormat="1" ht="15.75" customHeight="1">
      <c r="A25" s="272" t="s">
        <v>143</v>
      </c>
      <c r="B25" s="273"/>
      <c r="C25" s="273"/>
      <c r="D25" s="273"/>
      <c r="E25" s="63">
        <f>SUM(E18:E24)</f>
        <v>2742.12</v>
      </c>
    </row>
    <row r="26" spans="1:5" s="36" customFormat="1">
      <c r="A26" s="274" t="s">
        <v>47</v>
      </c>
      <c r="B26" s="275"/>
      <c r="C26" s="275"/>
      <c r="D26" s="275"/>
      <c r="E26" s="276"/>
    </row>
    <row r="27" spans="1:5" s="35" customFormat="1" ht="30" customHeight="1">
      <c r="A27" s="186">
        <v>2</v>
      </c>
      <c r="B27" s="172" t="s">
        <v>180</v>
      </c>
      <c r="C27" s="56" t="s">
        <v>173</v>
      </c>
      <c r="D27" s="81"/>
      <c r="E27" s="64" t="s">
        <v>10</v>
      </c>
    </row>
    <row r="28" spans="1:5" s="35" customFormat="1">
      <c r="A28" s="47" t="s">
        <v>0</v>
      </c>
      <c r="B28" s="48" t="s">
        <v>33</v>
      </c>
      <c r="C28" s="38">
        <f>E25</f>
        <v>2742.12</v>
      </c>
      <c r="D28" s="50">
        <f>1/12</f>
        <v>8.3299999999999999E-2</v>
      </c>
      <c r="E28" s="57">
        <f>(E25)*D28</f>
        <v>228.42</v>
      </c>
    </row>
    <row r="29" spans="1:5" s="35" customFormat="1">
      <c r="A29" s="47" t="s">
        <v>2</v>
      </c>
      <c r="B29" s="173" t="s">
        <v>293</v>
      </c>
      <c r="C29" s="38">
        <f>E25</f>
        <v>2742.12</v>
      </c>
      <c r="D29" s="50">
        <v>0.1111</v>
      </c>
      <c r="E29" s="57">
        <f>(E25)*D29</f>
        <v>304.64999999999998</v>
      </c>
    </row>
    <row r="30" spans="1:5" ht="15.75" customHeight="1">
      <c r="A30" s="264" t="s">
        <v>31</v>
      </c>
      <c r="B30" s="265"/>
      <c r="C30" s="265"/>
      <c r="D30" s="59">
        <f>SUM(D28:D29)</f>
        <v>0.19439999999999999</v>
      </c>
      <c r="E30" s="58">
        <f>SUM(E28:E29)</f>
        <v>533.07000000000005</v>
      </c>
    </row>
    <row r="31" spans="1:5" ht="30" customHeight="1">
      <c r="A31" s="279" t="s">
        <v>183</v>
      </c>
      <c r="B31" s="280"/>
      <c r="C31" s="280"/>
      <c r="D31" s="280"/>
      <c r="E31" s="281"/>
    </row>
    <row r="32" spans="1:5" ht="30" customHeight="1">
      <c r="A32" s="183" t="s">
        <v>135</v>
      </c>
      <c r="B32" s="82" t="s">
        <v>29</v>
      </c>
      <c r="C32" s="37" t="s">
        <v>173</v>
      </c>
      <c r="D32" s="70"/>
      <c r="E32" s="65" t="s">
        <v>10</v>
      </c>
    </row>
    <row r="33" spans="1:5" ht="15" customHeight="1">
      <c r="A33" s="47" t="s">
        <v>0</v>
      </c>
      <c r="B33" s="174" t="s">
        <v>294</v>
      </c>
      <c r="C33" s="38">
        <f t="shared" ref="C33:C40" si="0">E$25+E$30</f>
        <v>3275.19</v>
      </c>
      <c r="D33" s="50">
        <v>0.2</v>
      </c>
      <c r="E33" s="57">
        <f t="shared" ref="E33:E40" si="1">C33*D33</f>
        <v>655.04</v>
      </c>
    </row>
    <row r="34" spans="1:5">
      <c r="A34" s="47" t="s">
        <v>2</v>
      </c>
      <c r="B34" s="174" t="s">
        <v>298</v>
      </c>
      <c r="C34" s="38">
        <f t="shared" si="0"/>
        <v>3275.19</v>
      </c>
      <c r="D34" s="168">
        <v>2.5000000000000001E-2</v>
      </c>
      <c r="E34" s="57">
        <f t="shared" si="1"/>
        <v>81.88</v>
      </c>
    </row>
    <row r="35" spans="1:5" ht="45">
      <c r="A35" s="47" t="s">
        <v>3</v>
      </c>
      <c r="B35" s="175" t="s">
        <v>299</v>
      </c>
      <c r="C35" s="38">
        <f t="shared" si="0"/>
        <v>3275.19</v>
      </c>
      <c r="D35" s="168">
        <v>0.03</v>
      </c>
      <c r="E35" s="57">
        <f t="shared" si="1"/>
        <v>98.26</v>
      </c>
    </row>
    <row r="36" spans="1:5">
      <c r="A36" s="47" t="s">
        <v>5</v>
      </c>
      <c r="B36" s="174" t="s">
        <v>295</v>
      </c>
      <c r="C36" s="38">
        <f t="shared" si="0"/>
        <v>3275.19</v>
      </c>
      <c r="D36" s="168">
        <v>1.4999999999999999E-2</v>
      </c>
      <c r="E36" s="57">
        <f t="shared" si="1"/>
        <v>49.13</v>
      </c>
    </row>
    <row r="37" spans="1:5">
      <c r="A37" s="47" t="s">
        <v>22</v>
      </c>
      <c r="B37" s="174" t="s">
        <v>296</v>
      </c>
      <c r="C37" s="38">
        <f t="shared" si="0"/>
        <v>3275.19</v>
      </c>
      <c r="D37" s="168">
        <v>0.01</v>
      </c>
      <c r="E37" s="57">
        <f t="shared" si="1"/>
        <v>32.75</v>
      </c>
    </row>
    <row r="38" spans="1:5">
      <c r="A38" s="47" t="s">
        <v>24</v>
      </c>
      <c r="B38" s="177" t="s">
        <v>182</v>
      </c>
      <c r="C38" s="38">
        <f t="shared" si="0"/>
        <v>3275.19</v>
      </c>
      <c r="D38" s="168">
        <v>6.0000000000000001E-3</v>
      </c>
      <c r="E38" s="57">
        <f t="shared" si="1"/>
        <v>19.649999999999999</v>
      </c>
    </row>
    <row r="39" spans="1:5" ht="30">
      <c r="A39" s="47" t="s">
        <v>25</v>
      </c>
      <c r="B39" s="175" t="s">
        <v>297</v>
      </c>
      <c r="C39" s="38">
        <f t="shared" si="0"/>
        <v>3275.19</v>
      </c>
      <c r="D39" s="168">
        <v>2E-3</v>
      </c>
      <c r="E39" s="57">
        <f t="shared" si="1"/>
        <v>6.55</v>
      </c>
    </row>
    <row r="40" spans="1:5">
      <c r="A40" s="47" t="s">
        <v>30</v>
      </c>
      <c r="B40" s="176" t="s">
        <v>181</v>
      </c>
      <c r="C40" s="38">
        <f t="shared" si="0"/>
        <v>3275.19</v>
      </c>
      <c r="D40" s="168">
        <v>0.08</v>
      </c>
      <c r="E40" s="57">
        <f t="shared" si="1"/>
        <v>262.02</v>
      </c>
    </row>
    <row r="41" spans="1:5" s="30" customFormat="1" ht="15.75" customHeight="1">
      <c r="A41" s="264" t="s">
        <v>31</v>
      </c>
      <c r="B41" s="265"/>
      <c r="C41" s="265"/>
      <c r="D41" s="54">
        <f>SUM(D33:D40)</f>
        <v>0.36799999999999999</v>
      </c>
      <c r="E41" s="58">
        <f>SUM(E33:E40)</f>
        <v>1205.28</v>
      </c>
    </row>
    <row r="42" spans="1:5" s="30" customFormat="1">
      <c r="A42" s="266" t="s">
        <v>161</v>
      </c>
      <c r="B42" s="267"/>
      <c r="C42" s="267"/>
      <c r="D42" s="267"/>
      <c r="E42" s="268"/>
    </row>
    <row r="43" spans="1:5" s="30" customFormat="1" ht="30" customHeight="1">
      <c r="A43" s="181" t="s">
        <v>176</v>
      </c>
      <c r="B43" s="178" t="s">
        <v>184</v>
      </c>
      <c r="C43" s="255" t="s">
        <v>173</v>
      </c>
      <c r="D43" s="255"/>
      <c r="E43" s="64" t="s">
        <v>10</v>
      </c>
    </row>
    <row r="44" spans="1:5" s="30" customFormat="1" ht="15.75" customHeight="1">
      <c r="A44" s="179" t="s">
        <v>0</v>
      </c>
      <c r="B44" s="51" t="s">
        <v>137</v>
      </c>
      <c r="C44" s="282"/>
      <c r="D44" s="282"/>
      <c r="E44" s="66">
        <v>139.72</v>
      </c>
    </row>
    <row r="45" spans="1:5" s="30" customFormat="1" ht="15.75" customHeight="1">
      <c r="A45" s="180" t="s">
        <v>2</v>
      </c>
      <c r="B45" s="171" t="s">
        <v>185</v>
      </c>
      <c r="C45" s="283">
        <v>626.94000000000005</v>
      </c>
      <c r="D45" s="283"/>
      <c r="E45" s="61">
        <f>C45-(C45*0.99%)</f>
        <v>620.73</v>
      </c>
    </row>
    <row r="46" spans="1:5" s="30" customFormat="1" ht="15.75" customHeight="1">
      <c r="A46" s="47" t="s">
        <v>3</v>
      </c>
      <c r="B46" s="48" t="s">
        <v>127</v>
      </c>
      <c r="C46" s="284"/>
      <c r="D46" s="284"/>
      <c r="E46" s="67">
        <v>0</v>
      </c>
    </row>
    <row r="47" spans="1:5" s="30" customFormat="1" ht="30" customHeight="1">
      <c r="A47" s="47" t="s">
        <v>5</v>
      </c>
      <c r="B47" s="48" t="s">
        <v>128</v>
      </c>
      <c r="C47" s="285" t="s">
        <v>302</v>
      </c>
      <c r="D47" s="285"/>
      <c r="E47" s="67">
        <f>E18*50%*0.0199*2/12</f>
        <v>3.54</v>
      </c>
    </row>
    <row r="48" spans="1:5" s="30" customFormat="1" ht="15.75" customHeight="1">
      <c r="A48" s="47" t="s">
        <v>22</v>
      </c>
      <c r="B48" s="48" t="s">
        <v>129</v>
      </c>
      <c r="C48" s="231"/>
      <c r="D48" s="231"/>
      <c r="E48" s="57">
        <v>50.76</v>
      </c>
    </row>
    <row r="49" spans="1:5" s="30" customFormat="1" ht="15.75" customHeight="1">
      <c r="A49" s="264" t="s">
        <v>26</v>
      </c>
      <c r="B49" s="265"/>
      <c r="C49" s="265"/>
      <c r="D49" s="265"/>
      <c r="E49" s="58">
        <f>SUM(E44:E48)</f>
        <v>814.75</v>
      </c>
    </row>
    <row r="50" spans="1:5" s="30" customFormat="1" ht="15.75" customHeight="1">
      <c r="A50" s="266" t="s">
        <v>142</v>
      </c>
      <c r="B50" s="267"/>
      <c r="C50" s="267"/>
      <c r="D50" s="267"/>
      <c r="E50" s="268"/>
    </row>
    <row r="51" spans="1:5" s="30" customFormat="1" ht="15.75" customHeight="1">
      <c r="A51" s="188" t="s">
        <v>135</v>
      </c>
      <c r="B51" s="169" t="s">
        <v>138</v>
      </c>
      <c r="C51" s="256"/>
      <c r="D51" s="256"/>
      <c r="E51" s="68">
        <f>E30</f>
        <v>533.07000000000005</v>
      </c>
    </row>
    <row r="52" spans="1:5" s="30" customFormat="1" ht="15.75" customHeight="1">
      <c r="A52" s="188" t="s">
        <v>136</v>
      </c>
      <c r="B52" s="169" t="s">
        <v>139</v>
      </c>
      <c r="C52" s="256"/>
      <c r="D52" s="256"/>
      <c r="E52" s="68">
        <f>E41</f>
        <v>1205.28</v>
      </c>
    </row>
    <row r="53" spans="1:5" s="30" customFormat="1" ht="15.75" customHeight="1">
      <c r="A53" s="188" t="s">
        <v>176</v>
      </c>
      <c r="B53" s="169" t="s">
        <v>140</v>
      </c>
      <c r="C53" s="256"/>
      <c r="D53" s="256"/>
      <c r="E53" s="68">
        <f>E49</f>
        <v>814.75</v>
      </c>
    </row>
    <row r="54" spans="1:5" s="30" customFormat="1" ht="15.75" customHeight="1">
      <c r="A54" s="272" t="s">
        <v>144</v>
      </c>
      <c r="B54" s="273"/>
      <c r="C54" s="273"/>
      <c r="D54" s="273"/>
      <c r="E54" s="63">
        <f>SUM(E51:E53)</f>
        <v>2553.1</v>
      </c>
    </row>
    <row r="55" spans="1:5" s="30" customFormat="1" ht="15.75" customHeight="1">
      <c r="A55" s="274" t="s">
        <v>153</v>
      </c>
      <c r="B55" s="275"/>
      <c r="C55" s="275"/>
      <c r="D55" s="275"/>
      <c r="E55" s="276"/>
    </row>
    <row r="56" spans="1:5" s="30" customFormat="1" ht="30" customHeight="1">
      <c r="A56" s="183" t="s">
        <v>186</v>
      </c>
      <c r="B56" s="82" t="s">
        <v>34</v>
      </c>
      <c r="C56" s="184" t="s">
        <v>173</v>
      </c>
      <c r="D56" s="92"/>
      <c r="E56" s="65" t="s">
        <v>10</v>
      </c>
    </row>
    <row r="57" spans="1:5" s="30" customFormat="1" ht="15.75" customHeight="1">
      <c r="A57" s="47" t="s">
        <v>0</v>
      </c>
      <c r="B57" s="48" t="s">
        <v>35</v>
      </c>
      <c r="C57" s="38">
        <f>E$25</f>
        <v>2742.12</v>
      </c>
      <c r="D57" s="50">
        <v>4.5999999999999999E-3</v>
      </c>
      <c r="E57" s="57">
        <f>C57*D57</f>
        <v>12.61</v>
      </c>
    </row>
    <row r="58" spans="1:5" s="30" customFormat="1" ht="15.75" customHeight="1">
      <c r="A58" s="47" t="s">
        <v>2</v>
      </c>
      <c r="B58" s="48" t="s">
        <v>36</v>
      </c>
      <c r="C58" s="38">
        <f>E$25</f>
        <v>2742.12</v>
      </c>
      <c r="D58" s="50">
        <v>4.0000000000000002E-4</v>
      </c>
      <c r="E58" s="57">
        <f>C58*D58</f>
        <v>1.1000000000000001</v>
      </c>
    </row>
    <row r="59" spans="1:5" s="30" customFormat="1" ht="15.75" customHeight="1">
      <c r="A59" s="47" t="s">
        <v>3</v>
      </c>
      <c r="B59" s="48" t="s">
        <v>37</v>
      </c>
      <c r="C59" s="38">
        <f>E$25</f>
        <v>2742.12</v>
      </c>
      <c r="D59" s="50">
        <v>1.9400000000000001E-2</v>
      </c>
      <c r="E59" s="57">
        <f>C59*D59</f>
        <v>53.2</v>
      </c>
    </row>
    <row r="60" spans="1:5" s="30" customFormat="1" ht="30" customHeight="1">
      <c r="A60" s="47" t="s">
        <v>5</v>
      </c>
      <c r="B60" s="70" t="s">
        <v>303</v>
      </c>
      <c r="C60" s="38">
        <f>E$25</f>
        <v>2742.12</v>
      </c>
      <c r="D60" s="50">
        <v>7.7000000000000002E-3</v>
      </c>
      <c r="E60" s="57">
        <f>C60*D60</f>
        <v>21.11</v>
      </c>
    </row>
    <row r="61" spans="1:5" s="30" customFormat="1" ht="32.25" customHeight="1">
      <c r="A61" s="47" t="s">
        <v>22</v>
      </c>
      <c r="B61" s="48" t="s">
        <v>162</v>
      </c>
      <c r="C61" s="38">
        <f>E$25</f>
        <v>2742.12</v>
      </c>
      <c r="D61" s="50">
        <v>0.04</v>
      </c>
      <c r="E61" s="57">
        <f>C61*D61</f>
        <v>109.68</v>
      </c>
    </row>
    <row r="62" spans="1:5" s="30" customFormat="1" ht="15.75" customHeight="1">
      <c r="A62" s="272" t="s">
        <v>145</v>
      </c>
      <c r="B62" s="273"/>
      <c r="C62" s="273"/>
      <c r="D62" s="83">
        <f>SUM(D57:D61)</f>
        <v>7.2099999999999997E-2</v>
      </c>
      <c r="E62" s="63">
        <f>SUM(E57:E61)</f>
        <v>197.7</v>
      </c>
    </row>
    <row r="63" spans="1:5" s="30" customFormat="1" ht="15.75" customHeight="1">
      <c r="A63" s="274" t="s">
        <v>154</v>
      </c>
      <c r="B63" s="275"/>
      <c r="C63" s="275"/>
      <c r="D63" s="275"/>
      <c r="E63" s="276"/>
    </row>
    <row r="64" spans="1:5" s="30" customFormat="1" ht="30" customHeight="1">
      <c r="A64" s="183" t="s">
        <v>28</v>
      </c>
      <c r="B64" s="84" t="s">
        <v>187</v>
      </c>
      <c r="C64" s="184" t="s">
        <v>173</v>
      </c>
      <c r="D64" s="42"/>
      <c r="E64" s="65" t="s">
        <v>10</v>
      </c>
    </row>
    <row r="65" spans="1:5" s="30" customFormat="1">
      <c r="A65" s="47" t="s">
        <v>0</v>
      </c>
      <c r="B65" s="48" t="s">
        <v>163</v>
      </c>
      <c r="C65" s="41">
        <f>E$25+E$54+E$62+E85</f>
        <v>5525.7</v>
      </c>
      <c r="D65" s="50">
        <f>D29/12</f>
        <v>9.2999999999999992E-3</v>
      </c>
      <c r="E65" s="57">
        <f t="shared" ref="E65:E71" si="2">C65*D65</f>
        <v>51.39</v>
      </c>
    </row>
    <row r="66" spans="1:5" s="30" customFormat="1">
      <c r="A66" s="47" t="s">
        <v>2</v>
      </c>
      <c r="B66" s="48" t="s">
        <v>164</v>
      </c>
      <c r="C66" s="41">
        <f>E$25+E$54+E$62+E85</f>
        <v>5525.7</v>
      </c>
      <c r="D66" s="50">
        <v>1.3899999999999999E-2</v>
      </c>
      <c r="E66" s="57">
        <f t="shared" si="2"/>
        <v>76.81</v>
      </c>
    </row>
    <row r="67" spans="1:5" s="30" customFormat="1">
      <c r="A67" s="47" t="s">
        <v>3</v>
      </c>
      <c r="B67" s="48" t="s">
        <v>167</v>
      </c>
      <c r="C67" s="41">
        <f>E$25+E$54+E$62+E85</f>
        <v>5525.7</v>
      </c>
      <c r="D67" s="50">
        <v>1.2999999999999999E-3</v>
      </c>
      <c r="E67" s="57">
        <f t="shared" si="2"/>
        <v>7.18</v>
      </c>
    </row>
    <row r="68" spans="1:5" s="30" customFormat="1">
      <c r="A68" s="47" t="s">
        <v>5</v>
      </c>
      <c r="B68" s="48" t="s">
        <v>165</v>
      </c>
      <c r="C68" s="41">
        <f>E$25+E$54+E$62+E85</f>
        <v>5525.7</v>
      </c>
      <c r="D68" s="50">
        <v>2.0000000000000001E-4</v>
      </c>
      <c r="E68" s="57">
        <f t="shared" si="2"/>
        <v>1.1100000000000001</v>
      </c>
    </row>
    <row r="69" spans="1:5" s="30" customFormat="1">
      <c r="A69" s="47" t="s">
        <v>22</v>
      </c>
      <c r="B69" s="48" t="s">
        <v>304</v>
      </c>
      <c r="C69" s="41">
        <f>E$25+E$54+E$62+E85</f>
        <v>5525.7</v>
      </c>
      <c r="D69" s="50">
        <v>2.8E-3</v>
      </c>
      <c r="E69" s="57">
        <f t="shared" si="2"/>
        <v>15.47</v>
      </c>
    </row>
    <row r="70" spans="1:5" s="30" customFormat="1">
      <c r="A70" s="47" t="s">
        <v>24</v>
      </c>
      <c r="B70" s="48" t="s">
        <v>166</v>
      </c>
      <c r="C70" s="41">
        <f>E$25+E$54+E$62+E85</f>
        <v>5525.7</v>
      </c>
      <c r="D70" s="50">
        <v>2.9999999999999997E-4</v>
      </c>
      <c r="E70" s="57">
        <f t="shared" ref="E70" si="3">C70*D70</f>
        <v>1.66</v>
      </c>
    </row>
    <row r="71" spans="1:5" s="30" customFormat="1">
      <c r="A71" s="47" t="s">
        <v>25</v>
      </c>
      <c r="B71" s="185" t="s">
        <v>168</v>
      </c>
      <c r="C71" s="41">
        <f>E$25+E$54+E$62+E85</f>
        <v>5525.7</v>
      </c>
      <c r="D71" s="50">
        <v>0</v>
      </c>
      <c r="E71" s="57">
        <f t="shared" si="2"/>
        <v>0</v>
      </c>
    </row>
    <row r="72" spans="1:5" s="30" customFormat="1" ht="15.75" customHeight="1">
      <c r="A72" s="264" t="s">
        <v>169</v>
      </c>
      <c r="B72" s="265"/>
      <c r="C72" s="265"/>
      <c r="D72" s="69">
        <f>SUM(D65:D71)</f>
        <v>2.7799999999999998E-2</v>
      </c>
      <c r="E72" s="58">
        <f>SUM(E65:E71)</f>
        <v>153.62</v>
      </c>
    </row>
    <row r="73" spans="1:5" s="30" customFormat="1" ht="15.75" customHeight="1">
      <c r="A73" s="266" t="s">
        <v>170</v>
      </c>
      <c r="B73" s="267"/>
      <c r="C73" s="267"/>
      <c r="D73" s="267"/>
      <c r="E73" s="268"/>
    </row>
    <row r="74" spans="1:5" s="30" customFormat="1">
      <c r="A74" s="183"/>
      <c r="B74" s="82" t="s">
        <v>170</v>
      </c>
      <c r="C74" s="70"/>
      <c r="D74" s="70"/>
      <c r="E74" s="65" t="s">
        <v>10</v>
      </c>
    </row>
    <row r="75" spans="1:5" s="30" customFormat="1" ht="15.75" customHeight="1">
      <c r="A75" s="47" t="s">
        <v>0</v>
      </c>
      <c r="B75" s="48" t="s">
        <v>171</v>
      </c>
      <c r="C75" s="40"/>
      <c r="D75" s="50">
        <v>0</v>
      </c>
      <c r="E75" s="57">
        <f>(E$25+E$54+E$62+E85)*D75</f>
        <v>0</v>
      </c>
    </row>
    <row r="76" spans="1:5" s="30" customFormat="1" ht="15.75" customHeight="1">
      <c r="A76" s="264" t="s">
        <v>172</v>
      </c>
      <c r="B76" s="265"/>
      <c r="C76" s="265"/>
      <c r="D76" s="59">
        <f>SUM(D75:D75)</f>
        <v>0</v>
      </c>
      <c r="E76" s="58">
        <f>SUM(E75:E75)</f>
        <v>0</v>
      </c>
    </row>
    <row r="77" spans="1:5" s="30" customFormat="1" ht="15.75" customHeight="1">
      <c r="A77" s="269" t="s">
        <v>188</v>
      </c>
      <c r="B77" s="270"/>
      <c r="C77" s="270"/>
      <c r="D77" s="270"/>
      <c r="E77" s="271"/>
    </row>
    <row r="78" spans="1:5" s="30" customFormat="1" ht="15.75" customHeight="1">
      <c r="A78" s="183">
        <v>4</v>
      </c>
      <c r="B78" s="76" t="s">
        <v>189</v>
      </c>
      <c r="C78" s="85"/>
      <c r="D78" s="77"/>
      <c r="E78" s="65" t="s">
        <v>10</v>
      </c>
    </row>
    <row r="79" spans="1:5" s="30" customFormat="1" ht="15.75" customHeight="1">
      <c r="A79" s="47" t="s">
        <v>28</v>
      </c>
      <c r="B79" s="48" t="s">
        <v>187</v>
      </c>
      <c r="C79" s="85"/>
      <c r="D79" s="50">
        <f>D72</f>
        <v>2.7799999999999998E-2</v>
      </c>
      <c r="E79" s="57">
        <f>E72</f>
        <v>153.62</v>
      </c>
    </row>
    <row r="80" spans="1:5" s="30" customFormat="1" ht="15.75" customHeight="1">
      <c r="A80" s="47" t="s">
        <v>32</v>
      </c>
      <c r="B80" s="48" t="s">
        <v>170</v>
      </c>
      <c r="C80" s="85"/>
      <c r="D80" s="50">
        <v>0</v>
      </c>
      <c r="E80" s="57">
        <f>(D$25+D$53+D$61)*D80</f>
        <v>0</v>
      </c>
    </row>
    <row r="81" spans="1:5" s="30" customFormat="1" ht="15.75" customHeight="1">
      <c r="A81" s="264" t="s">
        <v>31</v>
      </c>
      <c r="B81" s="265"/>
      <c r="C81" s="265"/>
      <c r="D81" s="59">
        <f>SUM(D79:D80)</f>
        <v>2.7799999999999998E-2</v>
      </c>
      <c r="E81" s="58">
        <f>SUM(E79:E80)</f>
        <v>153.62</v>
      </c>
    </row>
    <row r="82" spans="1:5" s="30" customFormat="1" ht="15.75" customHeight="1">
      <c r="A82" s="272" t="s">
        <v>146</v>
      </c>
      <c r="B82" s="273"/>
      <c r="C82" s="273"/>
      <c r="D82" s="273"/>
      <c r="E82" s="63">
        <f>SUM(E72+E76)</f>
        <v>153.62</v>
      </c>
    </row>
    <row r="83" spans="1:5" s="30" customFormat="1" ht="15.75" customHeight="1">
      <c r="A83" s="274" t="s">
        <v>155</v>
      </c>
      <c r="B83" s="275"/>
      <c r="C83" s="275"/>
      <c r="D83" s="275"/>
      <c r="E83" s="276"/>
    </row>
    <row r="84" spans="1:5" s="30" customFormat="1" ht="15.75" customHeight="1">
      <c r="A84" s="183">
        <v>5</v>
      </c>
      <c r="B84" s="82" t="s">
        <v>27</v>
      </c>
      <c r="C84" s="70"/>
      <c r="D84" s="70"/>
      <c r="E84" s="65" t="s">
        <v>10</v>
      </c>
    </row>
    <row r="85" spans="1:5" s="30" customFormat="1" ht="15.75" customHeight="1">
      <c r="A85" s="180" t="s">
        <v>0</v>
      </c>
      <c r="B85" s="171" t="s">
        <v>190</v>
      </c>
      <c r="C85" s="53"/>
      <c r="D85" s="52"/>
      <c r="E85" s="57">
        <f>'Uniformes '!H9</f>
        <v>32.78</v>
      </c>
    </row>
    <row r="86" spans="1:5" s="30" customFormat="1" ht="15.75" customHeight="1">
      <c r="A86" s="180" t="s">
        <v>2</v>
      </c>
      <c r="B86" s="171" t="s">
        <v>191</v>
      </c>
      <c r="C86" s="53"/>
      <c r="D86" s="52"/>
      <c r="E86" s="57">
        <f>Materiais!H9</f>
        <v>285.62</v>
      </c>
    </row>
    <row r="87" spans="1:5" s="30" customFormat="1" ht="15.75" customHeight="1">
      <c r="A87" s="180" t="s">
        <v>3</v>
      </c>
      <c r="B87" s="171" t="s">
        <v>177</v>
      </c>
      <c r="C87" s="53"/>
      <c r="D87" s="52"/>
      <c r="E87" s="57">
        <f>Equipamentos!I20</f>
        <v>73.98</v>
      </c>
    </row>
    <row r="88" spans="1:5" s="30" customFormat="1" ht="15.75" customHeight="1">
      <c r="A88" s="180" t="s">
        <v>5</v>
      </c>
      <c r="B88" s="171" t="s">
        <v>130</v>
      </c>
      <c r="C88" s="53"/>
      <c r="D88" s="52"/>
      <c r="E88" s="57">
        <v>0</v>
      </c>
    </row>
    <row r="89" spans="1:5" s="30" customFormat="1" ht="15.75" customHeight="1">
      <c r="A89" s="272" t="s">
        <v>147</v>
      </c>
      <c r="B89" s="273"/>
      <c r="C89" s="273"/>
      <c r="D89" s="273"/>
      <c r="E89" s="63">
        <f>SUM(E85:E88)</f>
        <v>392.38</v>
      </c>
    </row>
    <row r="90" spans="1:5" s="30" customFormat="1" ht="23.25" customHeight="1">
      <c r="A90" s="277" t="s">
        <v>192</v>
      </c>
      <c r="B90" s="278"/>
      <c r="C90" s="278"/>
      <c r="D90" s="278"/>
      <c r="E90" s="75">
        <f>E89+E82+E62+E54+E25</f>
        <v>6038.92</v>
      </c>
    </row>
    <row r="91" spans="1:5" s="30" customFormat="1" ht="19.5" customHeight="1">
      <c r="A91" s="274" t="s">
        <v>156</v>
      </c>
      <c r="B91" s="275"/>
      <c r="C91" s="275"/>
      <c r="D91" s="275"/>
      <c r="E91" s="276"/>
    </row>
    <row r="92" spans="1:5" s="30" customFormat="1" ht="30" customHeight="1">
      <c r="A92" s="183">
        <v>6</v>
      </c>
      <c r="B92" s="82" t="s">
        <v>38</v>
      </c>
      <c r="C92" s="37" t="s">
        <v>173</v>
      </c>
      <c r="D92" s="37"/>
      <c r="E92" s="65" t="s">
        <v>10</v>
      </c>
    </row>
    <row r="93" spans="1:5" s="30" customFormat="1">
      <c r="A93" s="47" t="s">
        <v>0</v>
      </c>
      <c r="B93" s="48" t="s">
        <v>39</v>
      </c>
      <c r="C93" s="71">
        <f>E90</f>
        <v>6038.92</v>
      </c>
      <c r="D93" s="50">
        <v>0.05</v>
      </c>
      <c r="E93" s="57">
        <f>+C93*D93</f>
        <v>301.95</v>
      </c>
    </row>
    <row r="94" spans="1:5" s="30" customFormat="1">
      <c r="A94" s="47" t="s">
        <v>2</v>
      </c>
      <c r="B94" s="48" t="s">
        <v>40</v>
      </c>
      <c r="C94" s="71">
        <f>E90+E93</f>
        <v>6340.87</v>
      </c>
      <c r="D94" s="50">
        <v>0.1</v>
      </c>
      <c r="E94" s="57">
        <f>D94*(C94)</f>
        <v>634.09</v>
      </c>
    </row>
    <row r="95" spans="1:5" s="30" customFormat="1" ht="30.75" customHeight="1">
      <c r="A95" s="47"/>
      <c r="B95" s="48" t="s">
        <v>193</v>
      </c>
      <c r="C95" s="48"/>
      <c r="D95" s="50">
        <f>1-D102</f>
        <v>0.85750000000000004</v>
      </c>
      <c r="E95" s="57">
        <f>+E90+E93+E94</f>
        <v>6974.96</v>
      </c>
    </row>
    <row r="96" spans="1:5" s="30" customFormat="1">
      <c r="A96" s="47"/>
      <c r="B96" s="185"/>
      <c r="C96" s="49"/>
      <c r="D96" s="182"/>
      <c r="E96" s="78">
        <f>+E95/D95</f>
        <v>8134.06</v>
      </c>
    </row>
    <row r="97" spans="1:5" s="30" customFormat="1">
      <c r="A97" s="47" t="s">
        <v>3</v>
      </c>
      <c r="B97" s="185" t="s">
        <v>41</v>
      </c>
      <c r="C97" s="49"/>
      <c r="D97" s="189">
        <f>D99+D100+D101</f>
        <v>0.14249999999999999</v>
      </c>
      <c r="E97" s="78"/>
    </row>
    <row r="98" spans="1:5" s="30" customFormat="1">
      <c r="A98" s="47" t="s">
        <v>309</v>
      </c>
      <c r="B98" s="185" t="s">
        <v>305</v>
      </c>
      <c r="C98" s="185"/>
      <c r="D98" s="189">
        <f>D99+D100</f>
        <v>9.2499999999999999E-2</v>
      </c>
      <c r="E98" s="57"/>
    </row>
    <row r="99" spans="1:5" s="30" customFormat="1">
      <c r="A99" s="47" t="s">
        <v>310</v>
      </c>
      <c r="B99" s="48" t="s">
        <v>306</v>
      </c>
      <c r="C99" s="55">
        <f>E96</f>
        <v>8134.06</v>
      </c>
      <c r="D99" s="50">
        <v>1.6500000000000001E-2</v>
      </c>
      <c r="E99" s="57">
        <f>C99*D99</f>
        <v>134.21</v>
      </c>
    </row>
    <row r="100" spans="1:5" s="30" customFormat="1">
      <c r="A100" s="47" t="s">
        <v>311</v>
      </c>
      <c r="B100" s="48" t="s">
        <v>307</v>
      </c>
      <c r="C100" s="55">
        <f>E96</f>
        <v>8134.06</v>
      </c>
      <c r="D100" s="50">
        <v>7.5999999999999998E-2</v>
      </c>
      <c r="E100" s="57">
        <f>C100*D100</f>
        <v>618.19000000000005</v>
      </c>
    </row>
    <row r="101" spans="1:5" s="30" customFormat="1">
      <c r="A101" s="47" t="s">
        <v>312</v>
      </c>
      <c r="B101" s="48" t="s">
        <v>308</v>
      </c>
      <c r="C101" s="55">
        <f>E96</f>
        <v>8134.06</v>
      </c>
      <c r="D101" s="50">
        <v>0.05</v>
      </c>
      <c r="E101" s="57">
        <f>C101*D101</f>
        <v>406.7</v>
      </c>
    </row>
    <row r="102" spans="1:5" s="30" customFormat="1">
      <c r="A102" s="183"/>
      <c r="B102" s="85" t="s">
        <v>42</v>
      </c>
      <c r="C102" s="85"/>
      <c r="D102" s="86">
        <f>D97</f>
        <v>0.14249999999999999</v>
      </c>
      <c r="E102" s="57">
        <f>SUM(E99:E101)</f>
        <v>1159.0999999999999</v>
      </c>
    </row>
    <row r="103" spans="1:5" s="30" customFormat="1" ht="15.75" customHeight="1">
      <c r="A103" s="264" t="s">
        <v>43</v>
      </c>
      <c r="B103" s="265"/>
      <c r="C103" s="265"/>
      <c r="D103" s="265"/>
      <c r="E103" s="58">
        <f>+E93+E94+E102</f>
        <v>2095.14</v>
      </c>
    </row>
    <row r="104" spans="1:5" s="30" customFormat="1" ht="15.75" customHeight="1">
      <c r="A104" s="262" t="s">
        <v>44</v>
      </c>
      <c r="B104" s="263"/>
      <c r="C104" s="263"/>
      <c r="D104" s="263"/>
      <c r="E104" s="72" t="s">
        <v>10</v>
      </c>
    </row>
    <row r="105" spans="1:5" s="30" customFormat="1">
      <c r="A105" s="47" t="s">
        <v>0</v>
      </c>
      <c r="B105" s="259" t="s">
        <v>45</v>
      </c>
      <c r="C105" s="259"/>
      <c r="D105" s="259"/>
      <c r="E105" s="57">
        <f>+E25</f>
        <v>2742.12</v>
      </c>
    </row>
    <row r="106" spans="1:5" s="30" customFormat="1">
      <c r="A106" s="47" t="s">
        <v>2</v>
      </c>
      <c r="B106" s="259" t="s">
        <v>150</v>
      </c>
      <c r="C106" s="259"/>
      <c r="D106" s="259"/>
      <c r="E106" s="57">
        <f>+E54</f>
        <v>2553.1</v>
      </c>
    </row>
    <row r="107" spans="1:5" s="30" customFormat="1">
      <c r="A107" s="47" t="s">
        <v>3</v>
      </c>
      <c r="B107" s="259" t="s">
        <v>148</v>
      </c>
      <c r="C107" s="259"/>
      <c r="D107" s="259"/>
      <c r="E107" s="57">
        <f>E62</f>
        <v>197.7</v>
      </c>
    </row>
    <row r="108" spans="1:5" s="30" customFormat="1">
      <c r="A108" s="47" t="s">
        <v>5</v>
      </c>
      <c r="B108" s="259" t="s">
        <v>141</v>
      </c>
      <c r="C108" s="259"/>
      <c r="D108" s="259"/>
      <c r="E108" s="57">
        <f>E82</f>
        <v>153.62</v>
      </c>
    </row>
    <row r="109" spans="1:5" s="30" customFormat="1">
      <c r="A109" s="47" t="s">
        <v>22</v>
      </c>
      <c r="B109" s="259" t="s">
        <v>149</v>
      </c>
      <c r="C109" s="259"/>
      <c r="D109" s="259"/>
      <c r="E109" s="57">
        <f>E89</f>
        <v>392.38</v>
      </c>
    </row>
    <row r="110" spans="1:5" s="30" customFormat="1" ht="15.75" customHeight="1">
      <c r="A110" s="257" t="s">
        <v>313</v>
      </c>
      <c r="B110" s="258"/>
      <c r="C110" s="258"/>
      <c r="D110" s="258"/>
      <c r="E110" s="73">
        <f>SUM(E105:E109)</f>
        <v>6038.92</v>
      </c>
    </row>
    <row r="111" spans="1:5" s="30" customFormat="1">
      <c r="A111" s="47" t="s">
        <v>24</v>
      </c>
      <c r="B111" s="259" t="s">
        <v>152</v>
      </c>
      <c r="C111" s="259"/>
      <c r="D111" s="259"/>
      <c r="E111" s="57">
        <f>+E103</f>
        <v>2095.14</v>
      </c>
    </row>
    <row r="112" spans="1:5" s="30" customFormat="1" ht="16.5" customHeight="1" thickBot="1">
      <c r="A112" s="260" t="s">
        <v>46</v>
      </c>
      <c r="B112" s="261"/>
      <c r="C112" s="261"/>
      <c r="D112" s="261"/>
      <c r="E112" s="74">
        <f>+E110+E111</f>
        <v>8134.06</v>
      </c>
    </row>
  </sheetData>
  <mergeCells count="65">
    <mergeCell ref="C12:E12"/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24:D24"/>
    <mergeCell ref="C13:E13"/>
    <mergeCell ref="C14:E14"/>
    <mergeCell ref="C15:E15"/>
    <mergeCell ref="A16:E16"/>
    <mergeCell ref="B17:D17"/>
    <mergeCell ref="C18:D18"/>
    <mergeCell ref="C19:D19"/>
    <mergeCell ref="C20:D20"/>
    <mergeCell ref="C21:D21"/>
    <mergeCell ref="C22:D22"/>
    <mergeCell ref="C23:D23"/>
    <mergeCell ref="A63:E63"/>
    <mergeCell ref="A25:D25"/>
    <mergeCell ref="A26:E26"/>
    <mergeCell ref="A30:C30"/>
    <mergeCell ref="A31:E31"/>
    <mergeCell ref="A41:C41"/>
    <mergeCell ref="A42:E42"/>
    <mergeCell ref="A49:D49"/>
    <mergeCell ref="A50:E50"/>
    <mergeCell ref="A54:D54"/>
    <mergeCell ref="A55:E55"/>
    <mergeCell ref="A62:C62"/>
    <mergeCell ref="C44:D44"/>
    <mergeCell ref="C45:D45"/>
    <mergeCell ref="C46:D46"/>
    <mergeCell ref="C47:D47"/>
    <mergeCell ref="A103:D103"/>
    <mergeCell ref="A72:C72"/>
    <mergeCell ref="A73:E73"/>
    <mergeCell ref="A76:C76"/>
    <mergeCell ref="A77:E77"/>
    <mergeCell ref="A81:C81"/>
    <mergeCell ref="A82:D82"/>
    <mergeCell ref="A83:E83"/>
    <mergeCell ref="A89:D89"/>
    <mergeCell ref="A90:D90"/>
    <mergeCell ref="A91:E91"/>
    <mergeCell ref="A110:D110"/>
    <mergeCell ref="B111:D111"/>
    <mergeCell ref="A112:D112"/>
    <mergeCell ref="A104:D104"/>
    <mergeCell ref="B105:D105"/>
    <mergeCell ref="B106:D106"/>
    <mergeCell ref="B107:D107"/>
    <mergeCell ref="B108:D108"/>
    <mergeCell ref="B109:D109"/>
    <mergeCell ref="C48:D48"/>
    <mergeCell ref="C43:D43"/>
    <mergeCell ref="C51:D51"/>
    <mergeCell ref="C52:D52"/>
    <mergeCell ref="C53:D53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5" orientation="portrait"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8"/>
  <sheetViews>
    <sheetView tabSelected="1" view="pageBreakPreview" topLeftCell="A14" zoomScaleNormal="115" zoomScaleSheetLayoutView="100" workbookViewId="0">
      <selection activeCell="C46" sqref="C46:D46"/>
    </sheetView>
  </sheetViews>
  <sheetFormatPr defaultColWidth="9.140625" defaultRowHeight="15.75"/>
  <cols>
    <col min="1" max="1" width="8.7109375" style="29" customWidth="1"/>
    <col min="2" max="2" width="72.7109375" style="31" customWidth="1"/>
    <col min="3" max="3" width="12.7109375" style="31" customWidth="1"/>
    <col min="4" max="4" width="8.7109375" style="32" customWidth="1"/>
    <col min="5" max="5" width="12.7109375" style="34" customWidth="1"/>
    <col min="6" max="16384" width="9.140625" style="28"/>
  </cols>
  <sheetData>
    <row r="1" spans="1:13">
      <c r="A1" s="298"/>
      <c r="B1" s="299"/>
      <c r="C1" s="299"/>
      <c r="D1" s="299"/>
      <c r="E1" s="300"/>
    </row>
    <row r="2" spans="1:13" s="35" customFormat="1" ht="16.5" customHeight="1">
      <c r="A2" s="301"/>
      <c r="B2" s="302"/>
      <c r="C2" s="302"/>
      <c r="D2" s="302"/>
      <c r="E2" s="303"/>
    </row>
    <row r="3" spans="1:13" s="35" customFormat="1">
      <c r="A3" s="304" t="s">
        <v>125</v>
      </c>
      <c r="B3" s="305"/>
      <c r="C3" s="305"/>
      <c r="D3" s="305"/>
      <c r="E3" s="306"/>
    </row>
    <row r="4" spans="1:13" s="35" customFormat="1" ht="15" customHeight="1">
      <c r="A4" s="43" t="s">
        <v>0</v>
      </c>
      <c r="B4" s="44" t="s">
        <v>1</v>
      </c>
      <c r="C4" s="307">
        <v>2025</v>
      </c>
      <c r="D4" s="307"/>
      <c r="E4" s="308"/>
    </row>
    <row r="5" spans="1:13" s="35" customFormat="1" ht="75" customHeight="1">
      <c r="A5" s="43" t="s">
        <v>2</v>
      </c>
      <c r="B5" s="44" t="s">
        <v>133</v>
      </c>
      <c r="C5" s="309" t="s">
        <v>274</v>
      </c>
      <c r="D5" s="309"/>
      <c r="E5" s="310"/>
    </row>
    <row r="6" spans="1:13" s="35" customFormat="1" ht="15.75" customHeight="1">
      <c r="A6" s="43" t="s">
        <v>3</v>
      </c>
      <c r="B6" s="44" t="s">
        <v>4</v>
      </c>
      <c r="C6" s="311" t="s">
        <v>300</v>
      </c>
      <c r="D6" s="311"/>
      <c r="E6" s="312"/>
    </row>
    <row r="7" spans="1:13" s="35" customFormat="1">
      <c r="A7" s="43"/>
      <c r="B7" s="44" t="s">
        <v>178</v>
      </c>
      <c r="C7" s="309">
        <v>12</v>
      </c>
      <c r="D7" s="309"/>
      <c r="E7" s="310"/>
    </row>
    <row r="8" spans="1:13" s="35" customFormat="1">
      <c r="A8" s="304" t="s">
        <v>6</v>
      </c>
      <c r="B8" s="305"/>
      <c r="C8" s="305"/>
      <c r="D8" s="305"/>
      <c r="E8" s="306"/>
      <c r="M8" s="80"/>
    </row>
    <row r="9" spans="1:13" s="35" customFormat="1">
      <c r="A9" s="304" t="s">
        <v>7</v>
      </c>
      <c r="B9" s="305"/>
      <c r="C9" s="305"/>
      <c r="D9" s="305"/>
      <c r="E9" s="306"/>
    </row>
    <row r="10" spans="1:13" s="35" customFormat="1" ht="15.75" customHeight="1">
      <c r="A10" s="304" t="s">
        <v>8</v>
      </c>
      <c r="B10" s="305"/>
      <c r="C10" s="305"/>
      <c r="D10" s="305"/>
      <c r="E10" s="306"/>
    </row>
    <row r="11" spans="1:13" s="35" customFormat="1" ht="30" customHeight="1">
      <c r="A11" s="313" t="s">
        <v>9</v>
      </c>
      <c r="B11" s="256"/>
      <c r="C11" s="256"/>
      <c r="D11" s="256"/>
      <c r="E11" s="79" t="s">
        <v>10</v>
      </c>
    </row>
    <row r="12" spans="1:13" s="35" customFormat="1" ht="75" customHeight="1">
      <c r="A12" s="43">
        <v>1</v>
      </c>
      <c r="B12" s="45" t="s">
        <v>126</v>
      </c>
      <c r="C12" s="289" t="s">
        <v>274</v>
      </c>
      <c r="D12" s="289"/>
      <c r="E12" s="290"/>
    </row>
    <row r="13" spans="1:13" s="35" customFormat="1" ht="30" customHeight="1">
      <c r="A13" s="43">
        <v>2</v>
      </c>
      <c r="B13" s="45" t="s">
        <v>11</v>
      </c>
      <c r="C13" s="287">
        <v>2972.67</v>
      </c>
      <c r="D13" s="287"/>
      <c r="E13" s="288"/>
    </row>
    <row r="14" spans="1:13" s="35" customFormat="1" ht="15.75" customHeight="1">
      <c r="A14" s="43">
        <v>3</v>
      </c>
      <c r="B14" s="45" t="s">
        <v>12</v>
      </c>
      <c r="C14" s="289" t="s">
        <v>273</v>
      </c>
      <c r="D14" s="289"/>
      <c r="E14" s="290"/>
    </row>
    <row r="15" spans="1:13" s="35" customFormat="1">
      <c r="A15" s="43">
        <v>4</v>
      </c>
      <c r="B15" s="187" t="s">
        <v>13</v>
      </c>
      <c r="C15" s="291">
        <v>45673</v>
      </c>
      <c r="D15" s="292"/>
      <c r="E15" s="293"/>
    </row>
    <row r="16" spans="1:13" s="36" customFormat="1">
      <c r="A16" s="274" t="s">
        <v>14</v>
      </c>
      <c r="B16" s="275"/>
      <c r="C16" s="275"/>
      <c r="D16" s="275"/>
      <c r="E16" s="276"/>
    </row>
    <row r="17" spans="1:5" s="36" customFormat="1">
      <c r="A17" s="188">
        <v>1</v>
      </c>
      <c r="B17" s="294" t="s">
        <v>15</v>
      </c>
      <c r="C17" s="294"/>
      <c r="D17" s="294"/>
      <c r="E17" s="60" t="s">
        <v>10</v>
      </c>
    </row>
    <row r="18" spans="1:5" s="35" customFormat="1" ht="15.75" customHeight="1">
      <c r="A18" s="46" t="s">
        <v>0</v>
      </c>
      <c r="B18" s="170" t="s">
        <v>16</v>
      </c>
      <c r="C18" s="295"/>
      <c r="D18" s="295"/>
      <c r="E18" s="61">
        <f>C13</f>
        <v>2972.67</v>
      </c>
    </row>
    <row r="19" spans="1:5" s="35" customFormat="1" ht="15.75" customHeight="1">
      <c r="A19" s="46" t="s">
        <v>2</v>
      </c>
      <c r="B19" s="170" t="s">
        <v>17</v>
      </c>
      <c r="C19" s="296" t="s">
        <v>18</v>
      </c>
      <c r="D19" s="296"/>
      <c r="E19" s="62"/>
    </row>
    <row r="20" spans="1:5" s="35" customFormat="1" ht="15.75" customHeight="1">
      <c r="A20" s="46" t="s">
        <v>3</v>
      </c>
      <c r="B20" s="170" t="s">
        <v>19</v>
      </c>
      <c r="C20" s="297" t="s">
        <v>301</v>
      </c>
      <c r="D20" s="297"/>
      <c r="E20" s="62">
        <f>40%*1518</f>
        <v>607.20000000000005</v>
      </c>
    </row>
    <row r="21" spans="1:5" s="35" customFormat="1" ht="15.75" customHeight="1">
      <c r="A21" s="46" t="s">
        <v>5</v>
      </c>
      <c r="B21" s="170" t="s">
        <v>20</v>
      </c>
      <c r="C21" s="296" t="s">
        <v>21</v>
      </c>
      <c r="D21" s="296"/>
      <c r="E21" s="62"/>
    </row>
    <row r="22" spans="1:5" s="35" customFormat="1" ht="15.75" customHeight="1">
      <c r="A22" s="46" t="s">
        <v>22</v>
      </c>
      <c r="B22" s="170" t="s">
        <v>179</v>
      </c>
      <c r="C22" s="296" t="s">
        <v>23</v>
      </c>
      <c r="D22" s="296"/>
      <c r="E22" s="62"/>
    </row>
    <row r="23" spans="1:5" s="35" customFormat="1">
      <c r="A23" s="46" t="s">
        <v>24</v>
      </c>
      <c r="B23" s="170" t="s">
        <v>131</v>
      </c>
      <c r="C23" s="286"/>
      <c r="D23" s="286"/>
      <c r="E23" s="62"/>
    </row>
    <row r="24" spans="1:5" s="35" customFormat="1" ht="15.75" customHeight="1">
      <c r="A24" s="46" t="s">
        <v>25</v>
      </c>
      <c r="B24" s="171" t="s">
        <v>132</v>
      </c>
      <c r="C24" s="286"/>
      <c r="D24" s="286"/>
      <c r="E24" s="62"/>
    </row>
    <row r="25" spans="1:5" s="36" customFormat="1" ht="15.75" customHeight="1">
      <c r="A25" s="272" t="s">
        <v>143</v>
      </c>
      <c r="B25" s="273"/>
      <c r="C25" s="273"/>
      <c r="D25" s="273"/>
      <c r="E25" s="63">
        <f>SUM(E18:E24)</f>
        <v>3579.87</v>
      </c>
    </row>
    <row r="26" spans="1:5" s="36" customFormat="1">
      <c r="A26" s="274" t="s">
        <v>47</v>
      </c>
      <c r="B26" s="275"/>
      <c r="C26" s="275"/>
      <c r="D26" s="275"/>
      <c r="E26" s="276"/>
    </row>
    <row r="27" spans="1:5" s="35" customFormat="1" ht="30" customHeight="1">
      <c r="A27" s="186">
        <v>2</v>
      </c>
      <c r="B27" s="172" t="s">
        <v>180</v>
      </c>
      <c r="C27" s="56" t="s">
        <v>173</v>
      </c>
      <c r="D27" s="81"/>
      <c r="E27" s="64" t="s">
        <v>10</v>
      </c>
    </row>
    <row r="28" spans="1:5" s="35" customFormat="1">
      <c r="A28" s="47" t="s">
        <v>0</v>
      </c>
      <c r="B28" s="48" t="s">
        <v>33</v>
      </c>
      <c r="C28" s="38">
        <f>E25</f>
        <v>3579.87</v>
      </c>
      <c r="D28" s="50">
        <f>1/12</f>
        <v>8.3299999999999999E-2</v>
      </c>
      <c r="E28" s="57">
        <f>(E25)*D28</f>
        <v>298.2</v>
      </c>
    </row>
    <row r="29" spans="1:5" s="35" customFormat="1">
      <c r="A29" s="47" t="s">
        <v>2</v>
      </c>
      <c r="B29" s="173" t="s">
        <v>293</v>
      </c>
      <c r="C29" s="38">
        <f>E25</f>
        <v>3579.87</v>
      </c>
      <c r="D29" s="50">
        <v>0.1111</v>
      </c>
      <c r="E29" s="57">
        <f>(E25)*D29</f>
        <v>397.72</v>
      </c>
    </row>
    <row r="30" spans="1:5" ht="15.75" customHeight="1">
      <c r="A30" s="264" t="s">
        <v>31</v>
      </c>
      <c r="B30" s="265"/>
      <c r="C30" s="265"/>
      <c r="D30" s="59">
        <f>SUM(D28:D29)</f>
        <v>0.19439999999999999</v>
      </c>
      <c r="E30" s="58">
        <f>SUM(E28:E29)</f>
        <v>695.92</v>
      </c>
    </row>
    <row r="31" spans="1:5" ht="30" customHeight="1">
      <c r="A31" s="279" t="s">
        <v>183</v>
      </c>
      <c r="B31" s="280"/>
      <c r="C31" s="280"/>
      <c r="D31" s="280"/>
      <c r="E31" s="281"/>
    </row>
    <row r="32" spans="1:5" ht="30" customHeight="1">
      <c r="A32" s="183" t="s">
        <v>135</v>
      </c>
      <c r="B32" s="82" t="s">
        <v>29</v>
      </c>
      <c r="C32" s="37" t="s">
        <v>173</v>
      </c>
      <c r="D32" s="70"/>
      <c r="E32" s="65" t="s">
        <v>10</v>
      </c>
    </row>
    <row r="33" spans="1:5">
      <c r="A33" s="47" t="s">
        <v>0</v>
      </c>
      <c r="B33" s="174" t="s">
        <v>294</v>
      </c>
      <c r="C33" s="38">
        <f>E$25+E$30</f>
        <v>4275.79</v>
      </c>
      <c r="D33" s="50">
        <v>0.2</v>
      </c>
      <c r="E33" s="57">
        <f t="shared" ref="E33:E40" si="0">C33*D33</f>
        <v>855.16</v>
      </c>
    </row>
    <row r="34" spans="1:5">
      <c r="A34" s="47" t="s">
        <v>2</v>
      </c>
      <c r="B34" s="174" t="s">
        <v>298</v>
      </c>
      <c r="C34" s="38">
        <f>E$25+E$30</f>
        <v>4275.79</v>
      </c>
      <c r="D34" s="168">
        <v>2.5000000000000001E-2</v>
      </c>
      <c r="E34" s="57">
        <f t="shared" si="0"/>
        <v>106.89</v>
      </c>
    </row>
    <row r="35" spans="1:5" ht="45">
      <c r="A35" s="47" t="s">
        <v>3</v>
      </c>
      <c r="B35" s="175" t="s">
        <v>299</v>
      </c>
      <c r="C35" s="38">
        <f>E$25+E$30</f>
        <v>4275.79</v>
      </c>
      <c r="D35" s="168">
        <v>0.03</v>
      </c>
      <c r="E35" s="57">
        <f t="shared" si="0"/>
        <v>128.27000000000001</v>
      </c>
    </row>
    <row r="36" spans="1:5">
      <c r="A36" s="47" t="s">
        <v>5</v>
      </c>
      <c r="B36" s="174" t="s">
        <v>295</v>
      </c>
      <c r="C36" s="38">
        <f t="shared" ref="C36:C40" si="1">E$25+E$30</f>
        <v>4275.79</v>
      </c>
      <c r="D36" s="168">
        <v>1.4999999999999999E-2</v>
      </c>
      <c r="E36" s="57">
        <f t="shared" si="0"/>
        <v>64.14</v>
      </c>
    </row>
    <row r="37" spans="1:5">
      <c r="A37" s="47" t="s">
        <v>22</v>
      </c>
      <c r="B37" s="174" t="s">
        <v>296</v>
      </c>
      <c r="C37" s="38">
        <f t="shared" si="1"/>
        <v>4275.79</v>
      </c>
      <c r="D37" s="168">
        <v>0.01</v>
      </c>
      <c r="E37" s="57">
        <f t="shared" si="0"/>
        <v>42.76</v>
      </c>
    </row>
    <row r="38" spans="1:5">
      <c r="A38" s="47" t="s">
        <v>24</v>
      </c>
      <c r="B38" s="177" t="s">
        <v>182</v>
      </c>
      <c r="C38" s="38">
        <f t="shared" si="1"/>
        <v>4275.79</v>
      </c>
      <c r="D38" s="168">
        <v>6.0000000000000001E-3</v>
      </c>
      <c r="E38" s="57">
        <f t="shared" si="0"/>
        <v>25.65</v>
      </c>
    </row>
    <row r="39" spans="1:5" ht="30">
      <c r="A39" s="47" t="s">
        <v>25</v>
      </c>
      <c r="B39" s="175" t="s">
        <v>297</v>
      </c>
      <c r="C39" s="38">
        <f t="shared" si="1"/>
        <v>4275.79</v>
      </c>
      <c r="D39" s="168">
        <v>2E-3</v>
      </c>
      <c r="E39" s="57">
        <f t="shared" si="0"/>
        <v>8.5500000000000007</v>
      </c>
    </row>
    <row r="40" spans="1:5">
      <c r="A40" s="47" t="s">
        <v>30</v>
      </c>
      <c r="B40" s="176" t="s">
        <v>181</v>
      </c>
      <c r="C40" s="38">
        <f t="shared" si="1"/>
        <v>4275.79</v>
      </c>
      <c r="D40" s="168">
        <v>0.08</v>
      </c>
      <c r="E40" s="57">
        <f t="shared" si="0"/>
        <v>342.06</v>
      </c>
    </row>
    <row r="41" spans="1:5" s="30" customFormat="1" ht="15.75" customHeight="1">
      <c r="A41" s="264" t="s">
        <v>31</v>
      </c>
      <c r="B41" s="265"/>
      <c r="C41" s="265"/>
      <c r="D41" s="54">
        <f>SUM(D33:D40)</f>
        <v>0.36799999999999999</v>
      </c>
      <c r="E41" s="58">
        <f>SUM(E33:E40)</f>
        <v>1573.48</v>
      </c>
    </row>
    <row r="42" spans="1:5" s="30" customFormat="1">
      <c r="A42" s="266" t="s">
        <v>161</v>
      </c>
      <c r="B42" s="267"/>
      <c r="C42" s="267"/>
      <c r="D42" s="267"/>
      <c r="E42" s="268"/>
    </row>
    <row r="43" spans="1:5" s="30" customFormat="1" ht="30" customHeight="1">
      <c r="A43" s="181" t="s">
        <v>176</v>
      </c>
      <c r="B43" s="178" t="s">
        <v>184</v>
      </c>
      <c r="C43" s="255" t="s">
        <v>173</v>
      </c>
      <c r="D43" s="255"/>
      <c r="E43" s="64" t="s">
        <v>10</v>
      </c>
    </row>
    <row r="44" spans="1:5" s="30" customFormat="1">
      <c r="A44" s="179" t="s">
        <v>0</v>
      </c>
      <c r="B44" s="51" t="s">
        <v>137</v>
      </c>
      <c r="C44" s="282"/>
      <c r="D44" s="282"/>
      <c r="E44" s="66">
        <v>139.72</v>
      </c>
    </row>
    <row r="45" spans="1:5" s="30" customFormat="1">
      <c r="A45" s="180" t="s">
        <v>2</v>
      </c>
      <c r="B45" s="171" t="s">
        <v>185</v>
      </c>
      <c r="C45" s="283">
        <v>626.94000000000005</v>
      </c>
      <c r="D45" s="283"/>
      <c r="E45" s="61">
        <f>C45-(C45*0.99%)</f>
        <v>620.73</v>
      </c>
    </row>
    <row r="46" spans="1:5" s="30" customFormat="1">
      <c r="A46" s="47" t="s">
        <v>3</v>
      </c>
      <c r="B46" s="48" t="s">
        <v>127</v>
      </c>
      <c r="C46" s="284"/>
      <c r="D46" s="284"/>
      <c r="E46" s="67">
        <v>0</v>
      </c>
    </row>
    <row r="47" spans="1:5" s="30" customFormat="1" ht="30" customHeight="1">
      <c r="A47" s="47" t="s">
        <v>5</v>
      </c>
      <c r="B47" s="48" t="s">
        <v>128</v>
      </c>
      <c r="C47" s="285" t="s">
        <v>302</v>
      </c>
      <c r="D47" s="285"/>
      <c r="E47" s="67">
        <f>E18*50%*0.0199*2/12</f>
        <v>4.93</v>
      </c>
    </row>
    <row r="48" spans="1:5" s="30" customFormat="1">
      <c r="A48" s="47" t="s">
        <v>22</v>
      </c>
      <c r="B48" s="48" t="s">
        <v>129</v>
      </c>
      <c r="C48" s="231"/>
      <c r="D48" s="231"/>
      <c r="E48" s="57">
        <v>50.76</v>
      </c>
    </row>
    <row r="49" spans="1:5" s="30" customFormat="1" ht="15.75" customHeight="1">
      <c r="A49" s="264" t="s">
        <v>26</v>
      </c>
      <c r="B49" s="265"/>
      <c r="C49" s="265"/>
      <c r="D49" s="265"/>
      <c r="E49" s="58">
        <f>SUM(E44:E48)</f>
        <v>816.14</v>
      </c>
    </row>
    <row r="50" spans="1:5" s="30" customFormat="1" ht="15.75" customHeight="1">
      <c r="A50" s="266" t="s">
        <v>142</v>
      </c>
      <c r="B50" s="267"/>
      <c r="C50" s="267"/>
      <c r="D50" s="267"/>
      <c r="E50" s="268"/>
    </row>
    <row r="51" spans="1:5" s="30" customFormat="1" ht="15.75" customHeight="1">
      <c r="A51" s="188" t="s">
        <v>135</v>
      </c>
      <c r="B51" s="169" t="s">
        <v>138</v>
      </c>
      <c r="C51" s="256"/>
      <c r="D51" s="256"/>
      <c r="E51" s="68">
        <f>E30</f>
        <v>695.92</v>
      </c>
    </row>
    <row r="52" spans="1:5" s="30" customFormat="1" ht="15.75" customHeight="1">
      <c r="A52" s="188" t="s">
        <v>136</v>
      </c>
      <c r="B52" s="169" t="s">
        <v>139</v>
      </c>
      <c r="C52" s="256"/>
      <c r="D52" s="256"/>
      <c r="E52" s="68">
        <f>E41</f>
        <v>1573.48</v>
      </c>
    </row>
    <row r="53" spans="1:5" s="30" customFormat="1" ht="15.75" customHeight="1">
      <c r="A53" s="188" t="s">
        <v>176</v>
      </c>
      <c r="B53" s="169" t="s">
        <v>140</v>
      </c>
      <c r="C53" s="256"/>
      <c r="D53" s="256"/>
      <c r="E53" s="68">
        <f>E49</f>
        <v>816.14</v>
      </c>
    </row>
    <row r="54" spans="1:5" s="30" customFormat="1" ht="15.75" customHeight="1">
      <c r="A54" s="272" t="s">
        <v>144</v>
      </c>
      <c r="B54" s="273"/>
      <c r="C54" s="273"/>
      <c r="D54" s="273"/>
      <c r="E54" s="63">
        <f>SUM(E51:E53)</f>
        <v>3085.54</v>
      </c>
    </row>
    <row r="55" spans="1:5" s="30" customFormat="1" ht="15.75" customHeight="1">
      <c r="A55" s="274" t="s">
        <v>153</v>
      </c>
      <c r="B55" s="275"/>
      <c r="C55" s="275"/>
      <c r="D55" s="275"/>
      <c r="E55" s="276"/>
    </row>
    <row r="56" spans="1:5" s="30" customFormat="1" ht="30" customHeight="1">
      <c r="A56" s="183" t="s">
        <v>186</v>
      </c>
      <c r="B56" s="82" t="s">
        <v>34</v>
      </c>
      <c r="C56" s="184" t="s">
        <v>173</v>
      </c>
      <c r="D56" s="92"/>
      <c r="E56" s="65" t="s">
        <v>10</v>
      </c>
    </row>
    <row r="57" spans="1:5" s="30" customFormat="1" ht="15.75" customHeight="1">
      <c r="A57" s="47" t="s">
        <v>0</v>
      </c>
      <c r="B57" s="48" t="s">
        <v>35</v>
      </c>
      <c r="C57" s="38">
        <f>E$25</f>
        <v>3579.87</v>
      </c>
      <c r="D57" s="50">
        <v>4.5999999999999999E-3</v>
      </c>
      <c r="E57" s="57">
        <f>C57*D57</f>
        <v>16.47</v>
      </c>
    </row>
    <row r="58" spans="1:5" s="30" customFormat="1" ht="15.75" customHeight="1">
      <c r="A58" s="47" t="s">
        <v>2</v>
      </c>
      <c r="B58" s="48" t="s">
        <v>36</v>
      </c>
      <c r="C58" s="38">
        <f t="shared" ref="C58:C61" si="2">E$25</f>
        <v>3579.87</v>
      </c>
      <c r="D58" s="50">
        <v>4.0000000000000002E-4</v>
      </c>
      <c r="E58" s="57">
        <f>C58*D58</f>
        <v>1.43</v>
      </c>
    </row>
    <row r="59" spans="1:5" s="30" customFormat="1" ht="15.75" customHeight="1">
      <c r="A59" s="47" t="s">
        <v>3</v>
      </c>
      <c r="B59" s="48" t="s">
        <v>37</v>
      </c>
      <c r="C59" s="38">
        <f t="shared" si="2"/>
        <v>3579.87</v>
      </c>
      <c r="D59" s="50">
        <v>1.9400000000000001E-2</v>
      </c>
      <c r="E59" s="57">
        <f>C59*D59</f>
        <v>69.45</v>
      </c>
    </row>
    <row r="60" spans="1:5" s="30" customFormat="1" ht="30" customHeight="1">
      <c r="A60" s="47" t="s">
        <v>5</v>
      </c>
      <c r="B60" s="70" t="s">
        <v>303</v>
      </c>
      <c r="C60" s="38">
        <f t="shared" si="2"/>
        <v>3579.87</v>
      </c>
      <c r="D60" s="50">
        <v>7.7000000000000002E-3</v>
      </c>
      <c r="E60" s="57">
        <f>C60*D60</f>
        <v>27.56</v>
      </c>
    </row>
    <row r="61" spans="1:5" s="30" customFormat="1" ht="32.25" customHeight="1">
      <c r="A61" s="47" t="s">
        <v>22</v>
      </c>
      <c r="B61" s="48" t="s">
        <v>162</v>
      </c>
      <c r="C61" s="38">
        <f t="shared" si="2"/>
        <v>3579.87</v>
      </c>
      <c r="D61" s="50">
        <v>0.04</v>
      </c>
      <c r="E61" s="57">
        <f>C61*D61</f>
        <v>143.19</v>
      </c>
    </row>
    <row r="62" spans="1:5" s="30" customFormat="1" ht="15.75" customHeight="1">
      <c r="A62" s="272" t="s">
        <v>145</v>
      </c>
      <c r="B62" s="273"/>
      <c r="C62" s="273"/>
      <c r="D62" s="83">
        <f>SUM(D57:D61)</f>
        <v>7.2099999999999997E-2</v>
      </c>
      <c r="E62" s="63">
        <f>SUM(E57:E61)</f>
        <v>258.10000000000002</v>
      </c>
    </row>
    <row r="63" spans="1:5" s="30" customFormat="1" ht="15.75" customHeight="1">
      <c r="A63" s="274" t="s">
        <v>154</v>
      </c>
      <c r="B63" s="275"/>
      <c r="C63" s="275"/>
      <c r="D63" s="275"/>
      <c r="E63" s="276"/>
    </row>
    <row r="64" spans="1:5" s="30" customFormat="1" ht="30" customHeight="1">
      <c r="A64" s="183" t="s">
        <v>28</v>
      </c>
      <c r="B64" s="84" t="s">
        <v>187</v>
      </c>
      <c r="C64" s="184" t="s">
        <v>173</v>
      </c>
      <c r="D64" s="42"/>
      <c r="E64" s="65" t="s">
        <v>10</v>
      </c>
    </row>
    <row r="65" spans="1:5" s="30" customFormat="1">
      <c r="A65" s="47" t="s">
        <v>0</v>
      </c>
      <c r="B65" s="48" t="s">
        <v>163</v>
      </c>
      <c r="C65" s="41">
        <f>E$25+E$54+E$62+E85</f>
        <v>6956.29</v>
      </c>
      <c r="D65" s="50">
        <f>D29/12</f>
        <v>9.2999999999999992E-3</v>
      </c>
      <c r="E65" s="57">
        <f t="shared" ref="E65:E71" si="3">C65*D65</f>
        <v>64.69</v>
      </c>
    </row>
    <row r="66" spans="1:5" s="30" customFormat="1">
      <c r="A66" s="47" t="s">
        <v>2</v>
      </c>
      <c r="B66" s="48" t="s">
        <v>164</v>
      </c>
      <c r="C66" s="41">
        <f>E$25+E$54+E$62+E85</f>
        <v>6956.29</v>
      </c>
      <c r="D66" s="50">
        <v>1.3899999999999999E-2</v>
      </c>
      <c r="E66" s="57">
        <f t="shared" si="3"/>
        <v>96.69</v>
      </c>
    </row>
    <row r="67" spans="1:5" s="30" customFormat="1">
      <c r="A67" s="47" t="s">
        <v>3</v>
      </c>
      <c r="B67" s="48" t="s">
        <v>167</v>
      </c>
      <c r="C67" s="41">
        <f>E$25+E$54+E$62+E85</f>
        <v>6956.29</v>
      </c>
      <c r="D67" s="50">
        <v>1.2999999999999999E-3</v>
      </c>
      <c r="E67" s="57">
        <f t="shared" si="3"/>
        <v>9.0399999999999991</v>
      </c>
    </row>
    <row r="68" spans="1:5" s="30" customFormat="1">
      <c r="A68" s="47" t="s">
        <v>5</v>
      </c>
      <c r="B68" s="48" t="s">
        <v>165</v>
      </c>
      <c r="C68" s="41">
        <f>E$25+E$54+E$62+E85</f>
        <v>6956.29</v>
      </c>
      <c r="D68" s="50">
        <v>2.0000000000000001E-4</v>
      </c>
      <c r="E68" s="57">
        <f t="shared" si="3"/>
        <v>1.39</v>
      </c>
    </row>
    <row r="69" spans="1:5" s="30" customFormat="1">
      <c r="A69" s="47" t="s">
        <v>22</v>
      </c>
      <c r="B69" s="48" t="s">
        <v>304</v>
      </c>
      <c r="C69" s="41">
        <f>E$25+E$54+E$62+E85</f>
        <v>6956.29</v>
      </c>
      <c r="D69" s="50">
        <v>2.8E-3</v>
      </c>
      <c r="E69" s="57">
        <f t="shared" si="3"/>
        <v>19.48</v>
      </c>
    </row>
    <row r="70" spans="1:5" s="30" customFormat="1">
      <c r="A70" s="47" t="s">
        <v>24</v>
      </c>
      <c r="B70" s="48" t="s">
        <v>166</v>
      </c>
      <c r="C70" s="41">
        <f>E$25+E$54+E$62+E85</f>
        <v>6956.29</v>
      </c>
      <c r="D70" s="50">
        <v>2.9999999999999997E-4</v>
      </c>
      <c r="E70" s="57">
        <f t="shared" ref="E70" si="4">C70*D70</f>
        <v>2.09</v>
      </c>
    </row>
    <row r="71" spans="1:5" s="30" customFormat="1">
      <c r="A71" s="47" t="s">
        <v>25</v>
      </c>
      <c r="B71" s="185" t="s">
        <v>168</v>
      </c>
      <c r="C71" s="41">
        <f>E$25+E$54+E$62+E85</f>
        <v>6956.29</v>
      </c>
      <c r="D71" s="50">
        <v>0</v>
      </c>
      <c r="E71" s="57">
        <f t="shared" si="3"/>
        <v>0</v>
      </c>
    </row>
    <row r="72" spans="1:5" s="30" customFormat="1" ht="15.75" customHeight="1">
      <c r="A72" s="264" t="s">
        <v>169</v>
      </c>
      <c r="B72" s="265"/>
      <c r="C72" s="265"/>
      <c r="D72" s="69">
        <f>SUM(D65:D71)</f>
        <v>2.7799999999999998E-2</v>
      </c>
      <c r="E72" s="58">
        <f>SUM(E65:E71)</f>
        <v>193.38</v>
      </c>
    </row>
    <row r="73" spans="1:5" s="30" customFormat="1" ht="15.75" customHeight="1">
      <c r="A73" s="266" t="s">
        <v>170</v>
      </c>
      <c r="B73" s="267"/>
      <c r="C73" s="267"/>
      <c r="D73" s="267"/>
      <c r="E73" s="268"/>
    </row>
    <row r="74" spans="1:5" s="30" customFormat="1">
      <c r="A74" s="183"/>
      <c r="B74" s="82" t="s">
        <v>170</v>
      </c>
      <c r="C74" s="70"/>
      <c r="D74" s="70"/>
      <c r="E74" s="65" t="s">
        <v>10</v>
      </c>
    </row>
    <row r="75" spans="1:5" s="30" customFormat="1" ht="15.75" customHeight="1">
      <c r="A75" s="47" t="s">
        <v>0</v>
      </c>
      <c r="B75" s="48" t="s">
        <v>171</v>
      </c>
      <c r="C75" s="40"/>
      <c r="D75" s="50">
        <v>0</v>
      </c>
      <c r="E75" s="57">
        <f>(E$25+E$54+E$62)*D75</f>
        <v>0</v>
      </c>
    </row>
    <row r="76" spans="1:5" s="30" customFormat="1" ht="15.75" customHeight="1">
      <c r="A76" s="264" t="s">
        <v>172</v>
      </c>
      <c r="B76" s="265"/>
      <c r="C76" s="265"/>
      <c r="D76" s="59">
        <f>SUM(D75:D75)</f>
        <v>0</v>
      </c>
      <c r="E76" s="58">
        <f>SUM(E75:E75)</f>
        <v>0</v>
      </c>
    </row>
    <row r="77" spans="1:5" s="30" customFormat="1" ht="15.75" customHeight="1">
      <c r="A77" s="269" t="s">
        <v>188</v>
      </c>
      <c r="B77" s="270"/>
      <c r="C77" s="270"/>
      <c r="D77" s="270"/>
      <c r="E77" s="271"/>
    </row>
    <row r="78" spans="1:5" s="30" customFormat="1" ht="15.75" customHeight="1">
      <c r="A78" s="183">
        <v>4</v>
      </c>
      <c r="B78" s="76" t="s">
        <v>189</v>
      </c>
      <c r="C78" s="85"/>
      <c r="D78" s="77"/>
      <c r="E78" s="65" t="s">
        <v>10</v>
      </c>
    </row>
    <row r="79" spans="1:5" s="30" customFormat="1" ht="15.75" customHeight="1">
      <c r="A79" s="47" t="s">
        <v>28</v>
      </c>
      <c r="B79" s="48" t="s">
        <v>187</v>
      </c>
      <c r="C79" s="85"/>
      <c r="D79" s="50">
        <f>D72</f>
        <v>2.7799999999999998E-2</v>
      </c>
      <c r="E79" s="57">
        <f>E72</f>
        <v>193.38</v>
      </c>
    </row>
    <row r="80" spans="1:5" s="30" customFormat="1" ht="15.75" customHeight="1">
      <c r="A80" s="47" t="s">
        <v>32</v>
      </c>
      <c r="B80" s="48" t="s">
        <v>170</v>
      </c>
      <c r="C80" s="85"/>
      <c r="D80" s="50">
        <v>0</v>
      </c>
      <c r="E80" s="57">
        <f>(D$25+D$53+D$61)*D80</f>
        <v>0</v>
      </c>
    </row>
    <row r="81" spans="1:5" s="30" customFormat="1" ht="15.75" customHeight="1">
      <c r="A81" s="264" t="s">
        <v>31</v>
      </c>
      <c r="B81" s="265"/>
      <c r="C81" s="265"/>
      <c r="D81" s="59">
        <f>SUM(D79:D80)</f>
        <v>2.7799999999999998E-2</v>
      </c>
      <c r="E81" s="58">
        <f>SUM(E79:E80)</f>
        <v>193.38</v>
      </c>
    </row>
    <row r="82" spans="1:5" s="30" customFormat="1" ht="15.75" customHeight="1">
      <c r="A82" s="272" t="s">
        <v>146</v>
      </c>
      <c r="B82" s="273"/>
      <c r="C82" s="273"/>
      <c r="D82" s="273"/>
      <c r="E82" s="63">
        <f>SUM(E72+E76)</f>
        <v>193.38</v>
      </c>
    </row>
    <row r="83" spans="1:5" s="30" customFormat="1" ht="15.75" customHeight="1">
      <c r="A83" s="274" t="s">
        <v>155</v>
      </c>
      <c r="B83" s="275"/>
      <c r="C83" s="275"/>
      <c r="D83" s="275"/>
      <c r="E83" s="276"/>
    </row>
    <row r="84" spans="1:5" s="30" customFormat="1" ht="15.75" customHeight="1">
      <c r="A84" s="183">
        <v>5</v>
      </c>
      <c r="B84" s="82" t="s">
        <v>27</v>
      </c>
      <c r="C84" s="70"/>
      <c r="D84" s="70"/>
      <c r="E84" s="65" t="s">
        <v>10</v>
      </c>
    </row>
    <row r="85" spans="1:5" s="30" customFormat="1" ht="15.75" customHeight="1">
      <c r="A85" s="180" t="s">
        <v>0</v>
      </c>
      <c r="B85" s="171" t="s">
        <v>190</v>
      </c>
      <c r="C85" s="53"/>
      <c r="D85" s="52"/>
      <c r="E85" s="57">
        <f>'Uniformes '!H9</f>
        <v>32.78</v>
      </c>
    </row>
    <row r="86" spans="1:5" s="30" customFormat="1" ht="15.75" customHeight="1">
      <c r="A86" s="180" t="s">
        <v>2</v>
      </c>
      <c r="B86" s="171" t="s">
        <v>191</v>
      </c>
      <c r="C86" s="53"/>
      <c r="D86" s="52"/>
      <c r="E86" s="57">
        <f>Materiais!H9</f>
        <v>285.62</v>
      </c>
    </row>
    <row r="87" spans="1:5" s="30" customFormat="1" ht="15.75" customHeight="1">
      <c r="A87" s="180" t="s">
        <v>3</v>
      </c>
      <c r="B87" s="171" t="s">
        <v>177</v>
      </c>
      <c r="C87" s="53"/>
      <c r="D87" s="52"/>
      <c r="E87" s="57">
        <f>Equipamentos!I20</f>
        <v>73.98</v>
      </c>
    </row>
    <row r="88" spans="1:5" s="30" customFormat="1" ht="15.75" customHeight="1">
      <c r="A88" s="180" t="s">
        <v>5</v>
      </c>
      <c r="B88" s="171" t="s">
        <v>130</v>
      </c>
      <c r="C88" s="53"/>
      <c r="D88" s="52"/>
      <c r="E88" s="57">
        <v>0</v>
      </c>
    </row>
    <row r="89" spans="1:5" s="30" customFormat="1" ht="15.75" customHeight="1">
      <c r="A89" s="272" t="s">
        <v>147</v>
      </c>
      <c r="B89" s="273"/>
      <c r="C89" s="273"/>
      <c r="D89" s="273"/>
      <c r="E89" s="63">
        <f>SUM(E85:E88)</f>
        <v>392.38</v>
      </c>
    </row>
    <row r="90" spans="1:5" s="30" customFormat="1" ht="23.25" customHeight="1">
      <c r="A90" s="277" t="s">
        <v>192</v>
      </c>
      <c r="B90" s="278"/>
      <c r="C90" s="278"/>
      <c r="D90" s="278"/>
      <c r="E90" s="75">
        <f>E89+E82+E62+E54+E25</f>
        <v>7509.27</v>
      </c>
    </row>
    <row r="91" spans="1:5" s="30" customFormat="1" ht="19.5" customHeight="1">
      <c r="A91" s="274" t="s">
        <v>156</v>
      </c>
      <c r="B91" s="275"/>
      <c r="C91" s="275"/>
      <c r="D91" s="275"/>
      <c r="E91" s="276"/>
    </row>
    <row r="92" spans="1:5" s="30" customFormat="1" ht="30" customHeight="1">
      <c r="A92" s="183">
        <v>6</v>
      </c>
      <c r="B92" s="82" t="s">
        <v>38</v>
      </c>
      <c r="C92" s="37" t="s">
        <v>173</v>
      </c>
      <c r="D92" s="37"/>
      <c r="E92" s="65" t="s">
        <v>10</v>
      </c>
    </row>
    <row r="93" spans="1:5" s="30" customFormat="1">
      <c r="A93" s="47" t="s">
        <v>0</v>
      </c>
      <c r="B93" s="48" t="s">
        <v>39</v>
      </c>
      <c r="C93" s="71">
        <f>E90</f>
        <v>7509.27</v>
      </c>
      <c r="D93" s="50">
        <v>0.05</v>
      </c>
      <c r="E93" s="57">
        <f>+C93*D93</f>
        <v>375.46</v>
      </c>
    </row>
    <row r="94" spans="1:5" s="30" customFormat="1">
      <c r="A94" s="47" t="s">
        <v>2</v>
      </c>
      <c r="B94" s="48" t="s">
        <v>40</v>
      </c>
      <c r="C94" s="71">
        <f>E90+E93</f>
        <v>7884.73</v>
      </c>
      <c r="D94" s="50">
        <v>0.1</v>
      </c>
      <c r="E94" s="57">
        <f>D94*C94</f>
        <v>788.47</v>
      </c>
    </row>
    <row r="95" spans="1:5" s="30" customFormat="1" ht="30.75" customHeight="1">
      <c r="A95" s="47"/>
      <c r="B95" s="48" t="s">
        <v>193</v>
      </c>
      <c r="C95" s="48"/>
      <c r="D95" s="50">
        <f>1-D102</f>
        <v>0.85750000000000004</v>
      </c>
      <c r="E95" s="57">
        <f>+E90+E93+E94</f>
        <v>8673.2000000000007</v>
      </c>
    </row>
    <row r="96" spans="1:5" s="30" customFormat="1">
      <c r="A96" s="47"/>
      <c r="B96" s="185"/>
      <c r="C96" s="49"/>
      <c r="D96" s="182"/>
      <c r="E96" s="78">
        <f>+E95/D95</f>
        <v>10114.52</v>
      </c>
    </row>
    <row r="97" spans="1:5" s="30" customFormat="1">
      <c r="A97" s="47" t="s">
        <v>3</v>
      </c>
      <c r="B97" s="185" t="s">
        <v>41</v>
      </c>
      <c r="C97" s="49"/>
      <c r="D97" s="189">
        <f>D99+D100+D101</f>
        <v>0.14249999999999999</v>
      </c>
      <c r="E97" s="78"/>
    </row>
    <row r="98" spans="1:5" s="30" customFormat="1">
      <c r="A98" s="47" t="s">
        <v>309</v>
      </c>
      <c r="B98" s="185" t="s">
        <v>305</v>
      </c>
      <c r="C98" s="185"/>
      <c r="D98" s="189">
        <f>D99+D100</f>
        <v>9.2499999999999999E-2</v>
      </c>
      <c r="E98" s="57"/>
    </row>
    <row r="99" spans="1:5" s="30" customFormat="1">
      <c r="A99" s="47" t="s">
        <v>310</v>
      </c>
      <c r="B99" s="48" t="s">
        <v>306</v>
      </c>
      <c r="C99" s="55">
        <f>E96</f>
        <v>10114.52</v>
      </c>
      <c r="D99" s="50">
        <v>1.6500000000000001E-2</v>
      </c>
      <c r="E99" s="57">
        <f>C99*D99</f>
        <v>166.89</v>
      </c>
    </row>
    <row r="100" spans="1:5" s="30" customFormat="1">
      <c r="A100" s="47" t="s">
        <v>311</v>
      </c>
      <c r="B100" s="48" t="s">
        <v>307</v>
      </c>
      <c r="C100" s="55">
        <f>E96</f>
        <v>10114.52</v>
      </c>
      <c r="D100" s="50">
        <v>7.5999999999999998E-2</v>
      </c>
      <c r="E100" s="57">
        <f>+C100*D100</f>
        <v>768.7</v>
      </c>
    </row>
    <row r="101" spans="1:5" s="30" customFormat="1">
      <c r="A101" s="47" t="s">
        <v>312</v>
      </c>
      <c r="B101" s="48" t="s">
        <v>308</v>
      </c>
      <c r="C101" s="55">
        <f>E96</f>
        <v>10114.52</v>
      </c>
      <c r="D101" s="50">
        <v>0.05</v>
      </c>
      <c r="E101" s="57">
        <f>C101*D101</f>
        <v>505.73</v>
      </c>
    </row>
    <row r="102" spans="1:5" s="30" customFormat="1">
      <c r="A102" s="183"/>
      <c r="B102" s="85" t="s">
        <v>42</v>
      </c>
      <c r="C102" s="85"/>
      <c r="D102" s="86">
        <f>D97</f>
        <v>0.14249999999999999</v>
      </c>
      <c r="E102" s="57">
        <f>SUM(E99:E101)</f>
        <v>1441.32</v>
      </c>
    </row>
    <row r="103" spans="1:5" s="30" customFormat="1" ht="15.75" customHeight="1">
      <c r="A103" s="264" t="s">
        <v>43</v>
      </c>
      <c r="B103" s="265"/>
      <c r="C103" s="265"/>
      <c r="D103" s="265"/>
      <c r="E103" s="58">
        <f>+E93+E94+E102</f>
        <v>2605.25</v>
      </c>
    </row>
    <row r="104" spans="1:5" s="30" customFormat="1" ht="15.75" customHeight="1">
      <c r="A104" s="262" t="s">
        <v>44</v>
      </c>
      <c r="B104" s="263"/>
      <c r="C104" s="263"/>
      <c r="D104" s="263"/>
      <c r="E104" s="72" t="s">
        <v>10</v>
      </c>
    </row>
    <row r="105" spans="1:5" s="30" customFormat="1">
      <c r="A105" s="47" t="s">
        <v>0</v>
      </c>
      <c r="B105" s="259" t="s">
        <v>45</v>
      </c>
      <c r="C105" s="259"/>
      <c r="D105" s="259"/>
      <c r="E105" s="57">
        <f>+E25</f>
        <v>3579.87</v>
      </c>
    </row>
    <row r="106" spans="1:5" s="30" customFormat="1">
      <c r="A106" s="47" t="s">
        <v>2</v>
      </c>
      <c r="B106" s="259" t="s">
        <v>150</v>
      </c>
      <c r="C106" s="259"/>
      <c r="D106" s="259"/>
      <c r="E106" s="57">
        <f>+E54</f>
        <v>3085.54</v>
      </c>
    </row>
    <row r="107" spans="1:5" s="30" customFormat="1">
      <c r="A107" s="47" t="s">
        <v>3</v>
      </c>
      <c r="B107" s="259" t="s">
        <v>148</v>
      </c>
      <c r="C107" s="259"/>
      <c r="D107" s="259"/>
      <c r="E107" s="57">
        <f>E62</f>
        <v>258.10000000000002</v>
      </c>
    </row>
    <row r="108" spans="1:5" s="30" customFormat="1">
      <c r="A108" s="47" t="s">
        <v>5</v>
      </c>
      <c r="B108" s="259" t="s">
        <v>141</v>
      </c>
      <c r="C108" s="259"/>
      <c r="D108" s="259"/>
      <c r="E108" s="57">
        <f>E82</f>
        <v>193.38</v>
      </c>
    </row>
    <row r="109" spans="1:5" s="30" customFormat="1">
      <c r="A109" s="47" t="s">
        <v>22</v>
      </c>
      <c r="B109" s="259" t="s">
        <v>149</v>
      </c>
      <c r="C109" s="259"/>
      <c r="D109" s="259"/>
      <c r="E109" s="57">
        <f>E89</f>
        <v>392.38</v>
      </c>
    </row>
    <row r="110" spans="1:5" s="30" customFormat="1" ht="15.75" customHeight="1">
      <c r="A110" s="257" t="s">
        <v>151</v>
      </c>
      <c r="B110" s="258"/>
      <c r="C110" s="258"/>
      <c r="D110" s="258"/>
      <c r="E110" s="73">
        <f>SUM(E105:E109)</f>
        <v>7509.27</v>
      </c>
    </row>
    <row r="111" spans="1:5" s="30" customFormat="1">
      <c r="A111" s="183" t="s">
        <v>24</v>
      </c>
      <c r="B111" s="259" t="s">
        <v>152</v>
      </c>
      <c r="C111" s="259"/>
      <c r="D111" s="259"/>
      <c r="E111" s="57">
        <f>+E103</f>
        <v>2605.25</v>
      </c>
    </row>
    <row r="112" spans="1:5" s="30" customFormat="1" ht="16.5" customHeight="1" thickBot="1">
      <c r="A112" s="260" t="s">
        <v>46</v>
      </c>
      <c r="B112" s="261"/>
      <c r="C112" s="261"/>
      <c r="D112" s="261"/>
      <c r="E112" s="74">
        <f>+E110+E111</f>
        <v>10114.52</v>
      </c>
    </row>
    <row r="113" spans="2:3">
      <c r="B113" s="33"/>
    </row>
    <row r="118" spans="2:3">
      <c r="B118" s="28"/>
      <c r="C118" s="28"/>
    </row>
  </sheetData>
  <mergeCells count="65">
    <mergeCell ref="C12:E12"/>
    <mergeCell ref="A1:E1"/>
    <mergeCell ref="A2:E2"/>
    <mergeCell ref="A3:E3"/>
    <mergeCell ref="C4:E4"/>
    <mergeCell ref="C5:E5"/>
    <mergeCell ref="C6:E6"/>
    <mergeCell ref="C7:E7"/>
    <mergeCell ref="A8:E8"/>
    <mergeCell ref="A9:E9"/>
    <mergeCell ref="A10:E10"/>
    <mergeCell ref="A11:D11"/>
    <mergeCell ref="C24:D24"/>
    <mergeCell ref="C13:E13"/>
    <mergeCell ref="C14:E14"/>
    <mergeCell ref="C15:E15"/>
    <mergeCell ref="A16:E16"/>
    <mergeCell ref="B17:D17"/>
    <mergeCell ref="C18:D18"/>
    <mergeCell ref="C19:D19"/>
    <mergeCell ref="C20:D20"/>
    <mergeCell ref="C21:D21"/>
    <mergeCell ref="C22:D22"/>
    <mergeCell ref="C23:D23"/>
    <mergeCell ref="A63:E63"/>
    <mergeCell ref="A25:D25"/>
    <mergeCell ref="A26:E26"/>
    <mergeCell ref="A30:C30"/>
    <mergeCell ref="A31:E31"/>
    <mergeCell ref="A41:C41"/>
    <mergeCell ref="A42:E42"/>
    <mergeCell ref="A49:D49"/>
    <mergeCell ref="A50:E50"/>
    <mergeCell ref="A54:D54"/>
    <mergeCell ref="A55:E55"/>
    <mergeCell ref="A62:C62"/>
    <mergeCell ref="C44:D44"/>
    <mergeCell ref="C45:D45"/>
    <mergeCell ref="C46:D46"/>
    <mergeCell ref="C47:D47"/>
    <mergeCell ref="A103:D103"/>
    <mergeCell ref="A72:C72"/>
    <mergeCell ref="A73:E73"/>
    <mergeCell ref="A76:C76"/>
    <mergeCell ref="A77:E77"/>
    <mergeCell ref="A81:C81"/>
    <mergeCell ref="A82:D82"/>
    <mergeCell ref="A83:E83"/>
    <mergeCell ref="A89:D89"/>
    <mergeCell ref="A90:D90"/>
    <mergeCell ref="A91:E91"/>
    <mergeCell ref="A110:D110"/>
    <mergeCell ref="B111:D111"/>
    <mergeCell ref="A112:D112"/>
    <mergeCell ref="A104:D104"/>
    <mergeCell ref="B105:D105"/>
    <mergeCell ref="B106:D106"/>
    <mergeCell ref="B107:D107"/>
    <mergeCell ref="B108:D108"/>
    <mergeCell ref="B109:D109"/>
    <mergeCell ref="C48:D48"/>
    <mergeCell ref="C43:D43"/>
    <mergeCell ref="C51:D51"/>
    <mergeCell ref="C52:D52"/>
    <mergeCell ref="C53:D53"/>
  </mergeCells>
  <hyperlinks>
    <hyperlink ref="B3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scale="35" orientation="portrait"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view="pageBreakPreview" zoomScaleSheetLayoutView="100" workbookViewId="0">
      <selection activeCell="A11" sqref="A11:H18"/>
    </sheetView>
  </sheetViews>
  <sheetFormatPr defaultRowHeight="15"/>
  <cols>
    <col min="1" max="1" width="8.7109375" customWidth="1"/>
    <col min="2" max="2" width="30.7109375" customWidth="1"/>
    <col min="3" max="8" width="15.7109375" customWidth="1"/>
  </cols>
  <sheetData>
    <row r="1" spans="1:8" ht="15" customHeight="1" thickBot="1">
      <c r="A1" s="323" t="s">
        <v>286</v>
      </c>
      <c r="B1" s="324"/>
      <c r="C1" s="324"/>
      <c r="D1" s="324"/>
      <c r="E1" s="324"/>
      <c r="F1" s="324"/>
      <c r="G1" s="324"/>
      <c r="H1" s="325"/>
    </row>
    <row r="2" spans="1:8" ht="15" customHeight="1" thickBot="1">
      <c r="A2" s="326"/>
      <c r="B2" s="327"/>
      <c r="C2" s="327"/>
      <c r="D2" s="327"/>
      <c r="E2" s="327"/>
      <c r="F2" s="327"/>
      <c r="G2" s="327"/>
      <c r="H2" s="328"/>
    </row>
    <row r="3" spans="1:8" ht="15" customHeight="1" thickBot="1">
      <c r="A3" s="329"/>
      <c r="B3" s="330"/>
      <c r="C3" s="330"/>
      <c r="D3" s="330"/>
      <c r="E3" s="330"/>
      <c r="F3" s="330"/>
      <c r="G3" s="330"/>
      <c r="H3" s="331"/>
    </row>
    <row r="4" spans="1:8" ht="15" customHeight="1">
      <c r="A4" s="119" t="s">
        <v>275</v>
      </c>
      <c r="B4" s="89" t="s">
        <v>276</v>
      </c>
      <c r="C4" s="89" t="s">
        <v>277</v>
      </c>
      <c r="D4" s="89" t="s">
        <v>278</v>
      </c>
      <c r="E4" s="89" t="s">
        <v>278</v>
      </c>
      <c r="F4" s="89" t="s">
        <v>159</v>
      </c>
      <c r="G4" s="89" t="s">
        <v>174</v>
      </c>
      <c r="H4" s="120" t="s">
        <v>279</v>
      </c>
    </row>
    <row r="5" spans="1:8" ht="15" customHeight="1">
      <c r="A5" s="121">
        <v>1</v>
      </c>
      <c r="B5" s="39" t="s">
        <v>280</v>
      </c>
      <c r="C5" s="39" t="s">
        <v>281</v>
      </c>
      <c r="D5" s="39">
        <v>2</v>
      </c>
      <c r="E5" s="39">
        <f t="shared" ref="E5:E8" si="0">D5*2</f>
        <v>4</v>
      </c>
      <c r="F5" s="87">
        <v>44.9</v>
      </c>
      <c r="G5" s="122">
        <f>F5*E5</f>
        <v>179.6</v>
      </c>
      <c r="H5" s="123">
        <f>G5/12</f>
        <v>14.97</v>
      </c>
    </row>
    <row r="6" spans="1:8" ht="15" customHeight="1">
      <c r="A6" s="121">
        <v>2</v>
      </c>
      <c r="B6" s="124" t="s">
        <v>282</v>
      </c>
      <c r="C6" s="39" t="s">
        <v>281</v>
      </c>
      <c r="D6" s="125">
        <v>2</v>
      </c>
      <c r="E6" s="39">
        <f t="shared" si="0"/>
        <v>4</v>
      </c>
      <c r="F6" s="122">
        <v>33.700000000000003</v>
      </c>
      <c r="G6" s="122">
        <f>F6*E6</f>
        <v>134.80000000000001</v>
      </c>
      <c r="H6" s="123">
        <f>G6/12</f>
        <v>11.23</v>
      </c>
    </row>
    <row r="7" spans="1:8" ht="15" customHeight="1">
      <c r="A7" s="121">
        <v>3</v>
      </c>
      <c r="B7" s="124" t="s">
        <v>283</v>
      </c>
      <c r="C7" s="39" t="s">
        <v>281</v>
      </c>
      <c r="D7" s="125">
        <v>1</v>
      </c>
      <c r="E7" s="39">
        <f t="shared" si="0"/>
        <v>2</v>
      </c>
      <c r="F7" s="122">
        <v>2.4700000000000002</v>
      </c>
      <c r="G7" s="122">
        <f>F7*E7</f>
        <v>4.9400000000000004</v>
      </c>
      <c r="H7" s="123">
        <f>G7/12</f>
        <v>0.41</v>
      </c>
    </row>
    <row r="8" spans="1:8" ht="15" customHeight="1" thickBot="1">
      <c r="A8" s="126">
        <v>4</v>
      </c>
      <c r="B8" s="127" t="s">
        <v>284</v>
      </c>
      <c r="C8" s="128" t="s">
        <v>281</v>
      </c>
      <c r="D8" s="129">
        <v>1</v>
      </c>
      <c r="E8" s="128">
        <f t="shared" si="0"/>
        <v>2</v>
      </c>
      <c r="F8" s="130">
        <v>37</v>
      </c>
      <c r="G8" s="130">
        <f>F8*E8</f>
        <v>74</v>
      </c>
      <c r="H8" s="131">
        <f>G8/12</f>
        <v>6.17</v>
      </c>
    </row>
    <row r="9" spans="1:8" ht="15" customHeight="1" thickBot="1">
      <c r="A9" s="332" t="s">
        <v>285</v>
      </c>
      <c r="B9" s="333"/>
      <c r="C9" s="333"/>
      <c r="D9" s="333"/>
      <c r="E9" s="333"/>
      <c r="F9" s="333"/>
      <c r="G9" s="334"/>
      <c r="H9" s="132">
        <f>SUM(H5:H8)</f>
        <v>32.78</v>
      </c>
    </row>
    <row r="10" spans="1:8" ht="15.75" thickBot="1">
      <c r="A10" s="335" t="s">
        <v>202</v>
      </c>
      <c r="B10" s="336"/>
      <c r="C10" s="336"/>
      <c r="D10" s="336"/>
      <c r="E10" s="336"/>
      <c r="F10" s="336"/>
      <c r="G10" s="336"/>
      <c r="H10" s="337"/>
    </row>
    <row r="11" spans="1:8" ht="15" customHeight="1">
      <c r="A11" s="314" t="s">
        <v>288</v>
      </c>
      <c r="B11" s="315"/>
      <c r="C11" s="315"/>
      <c r="D11" s="315"/>
      <c r="E11" s="315"/>
      <c r="F11" s="315"/>
      <c r="G11" s="315"/>
      <c r="H11" s="316"/>
    </row>
    <row r="12" spans="1:8">
      <c r="A12" s="317"/>
      <c r="B12" s="318"/>
      <c r="C12" s="318"/>
      <c r="D12" s="318"/>
      <c r="E12" s="318"/>
      <c r="F12" s="318"/>
      <c r="G12" s="318"/>
      <c r="H12" s="319"/>
    </row>
    <row r="13" spans="1:8">
      <c r="A13" s="317"/>
      <c r="B13" s="318"/>
      <c r="C13" s="318"/>
      <c r="D13" s="318"/>
      <c r="E13" s="318"/>
      <c r="F13" s="318"/>
      <c r="G13" s="318"/>
      <c r="H13" s="319"/>
    </row>
    <row r="14" spans="1:8">
      <c r="A14" s="317"/>
      <c r="B14" s="318"/>
      <c r="C14" s="318"/>
      <c r="D14" s="318"/>
      <c r="E14" s="318"/>
      <c r="F14" s="318"/>
      <c r="G14" s="318"/>
      <c r="H14" s="319"/>
    </row>
    <row r="15" spans="1:8">
      <c r="A15" s="317"/>
      <c r="B15" s="318"/>
      <c r="C15" s="318"/>
      <c r="D15" s="318"/>
      <c r="E15" s="318"/>
      <c r="F15" s="318"/>
      <c r="G15" s="318"/>
      <c r="H15" s="319"/>
    </row>
    <row r="16" spans="1:8">
      <c r="A16" s="317"/>
      <c r="B16" s="318"/>
      <c r="C16" s="318"/>
      <c r="D16" s="318"/>
      <c r="E16" s="318"/>
      <c r="F16" s="318"/>
      <c r="G16" s="318"/>
      <c r="H16" s="319"/>
    </row>
    <row r="17" spans="1:8">
      <c r="A17" s="317"/>
      <c r="B17" s="318"/>
      <c r="C17" s="318"/>
      <c r="D17" s="318"/>
      <c r="E17" s="318"/>
      <c r="F17" s="318"/>
      <c r="G17" s="318"/>
      <c r="H17" s="319"/>
    </row>
    <row r="18" spans="1:8" ht="15.75" thickBot="1">
      <c r="A18" s="320"/>
      <c r="B18" s="321"/>
      <c r="C18" s="321"/>
      <c r="D18" s="321"/>
      <c r="E18" s="321"/>
      <c r="F18" s="321"/>
      <c r="G18" s="321"/>
      <c r="H18" s="322"/>
    </row>
    <row r="19" spans="1:8">
      <c r="A19" s="133"/>
      <c r="B19" s="133"/>
      <c r="C19" s="133"/>
      <c r="D19" s="133"/>
      <c r="E19" s="133"/>
      <c r="F19" s="133"/>
      <c r="G19" s="133"/>
      <c r="H19" s="133"/>
    </row>
    <row r="20" spans="1:8">
      <c r="A20" s="133"/>
      <c r="B20" s="133"/>
      <c r="C20" s="133"/>
      <c r="D20" s="133"/>
      <c r="E20" s="133"/>
      <c r="F20" s="133"/>
      <c r="G20" s="133"/>
      <c r="H20" s="133"/>
    </row>
  </sheetData>
  <mergeCells count="6">
    <mergeCell ref="A11:H18"/>
    <mergeCell ref="A1:H1"/>
    <mergeCell ref="A2:H2"/>
    <mergeCell ref="A3:H3"/>
    <mergeCell ref="A9:G9"/>
    <mergeCell ref="A10:H10"/>
  </mergeCells>
  <pageMargins left="0.511811024" right="0.511811024" top="0.78740157499999996" bottom="0.78740157499999996" header="0.31496062000000002" footer="0.31496062000000002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"/>
  <sheetViews>
    <sheetView view="pageBreakPreview" topLeftCell="A7" zoomScaleSheetLayoutView="100" workbookViewId="0">
      <selection activeCell="I9" sqref="I9"/>
    </sheetView>
  </sheetViews>
  <sheetFormatPr defaultRowHeight="15"/>
  <cols>
    <col min="1" max="1" width="9.85546875" bestFit="1" customWidth="1"/>
    <col min="2" max="2" width="80.7109375" customWidth="1"/>
    <col min="3" max="8" width="15.7109375" customWidth="1"/>
  </cols>
  <sheetData>
    <row r="1" spans="1:8" ht="15" customHeight="1" thickBot="1">
      <c r="A1" s="341" t="s">
        <v>249</v>
      </c>
      <c r="B1" s="342"/>
      <c r="C1" s="342"/>
      <c r="D1" s="342"/>
      <c r="E1" s="342"/>
      <c r="F1" s="342"/>
      <c r="G1" s="342"/>
      <c r="H1" s="343"/>
    </row>
    <row r="2" spans="1:8" ht="30" customHeight="1">
      <c r="A2" s="88" t="s">
        <v>196</v>
      </c>
      <c r="B2" s="89" t="s">
        <v>157</v>
      </c>
      <c r="C2" s="89" t="s">
        <v>158</v>
      </c>
      <c r="D2" s="90" t="s">
        <v>198</v>
      </c>
      <c r="E2" s="90" t="s">
        <v>197</v>
      </c>
      <c r="F2" s="90" t="s">
        <v>287</v>
      </c>
      <c r="G2" s="90" t="s">
        <v>174</v>
      </c>
      <c r="H2" s="91" t="s">
        <v>175</v>
      </c>
    </row>
    <row r="3" spans="1:8" ht="99.95" customHeight="1">
      <c r="A3" s="99">
        <v>1</v>
      </c>
      <c r="B3" s="97" t="s">
        <v>250</v>
      </c>
      <c r="C3" s="103" t="s">
        <v>255</v>
      </c>
      <c r="D3" s="98" t="s">
        <v>256</v>
      </c>
      <c r="E3" s="98" t="s">
        <v>258</v>
      </c>
      <c r="F3" s="87">
        <v>12.58</v>
      </c>
      <c r="G3" s="87">
        <f>F3*600</f>
        <v>7548</v>
      </c>
      <c r="H3" s="109">
        <f>F3*50</f>
        <v>629</v>
      </c>
    </row>
    <row r="4" spans="1:8" ht="159.94999999999999" customHeight="1">
      <c r="A4" s="99">
        <v>2</v>
      </c>
      <c r="B4" s="97" t="s">
        <v>251</v>
      </c>
      <c r="C4" s="207" t="s">
        <v>255</v>
      </c>
      <c r="D4" s="98" t="s">
        <v>257</v>
      </c>
      <c r="E4" s="98" t="s">
        <v>259</v>
      </c>
      <c r="F4" s="206">
        <f>368.2/50</f>
        <v>7.36</v>
      </c>
      <c r="G4" s="206">
        <f>F4*120</f>
        <v>883.2</v>
      </c>
      <c r="H4" s="109">
        <f>F4*10</f>
        <v>73.599999999999994</v>
      </c>
    </row>
    <row r="5" spans="1:8" ht="114.95" customHeight="1">
      <c r="A5" s="99">
        <v>3</v>
      </c>
      <c r="B5" s="110" t="s">
        <v>252</v>
      </c>
      <c r="C5" s="104" t="s">
        <v>255</v>
      </c>
      <c r="D5" s="98" t="s">
        <v>256</v>
      </c>
      <c r="E5" s="98" t="s">
        <v>258</v>
      </c>
      <c r="F5" s="87">
        <v>4.05</v>
      </c>
      <c r="G5" s="87">
        <f>F5*600</f>
        <v>2430</v>
      </c>
      <c r="H5" s="109">
        <f>F5*50</f>
        <v>202.5</v>
      </c>
    </row>
    <row r="6" spans="1:8" ht="99.95" customHeight="1">
      <c r="A6" s="99">
        <v>4</v>
      </c>
      <c r="B6" s="97" t="s">
        <v>253</v>
      </c>
      <c r="C6" s="103" t="s">
        <v>255</v>
      </c>
      <c r="D6" s="98" t="s">
        <v>256</v>
      </c>
      <c r="E6" s="98" t="s">
        <v>258</v>
      </c>
      <c r="F6" s="87">
        <v>7</v>
      </c>
      <c r="G6" s="87">
        <f>F6*600</f>
        <v>4200</v>
      </c>
      <c r="H6" s="109">
        <f>F6*50</f>
        <v>350</v>
      </c>
    </row>
    <row r="7" spans="1:8" ht="99.95" customHeight="1" thickBot="1">
      <c r="A7" s="99">
        <v>5</v>
      </c>
      <c r="B7" s="97" t="s">
        <v>254</v>
      </c>
      <c r="C7" s="103" t="s">
        <v>255</v>
      </c>
      <c r="D7" s="98" t="s">
        <v>256</v>
      </c>
      <c r="E7" s="98" t="s">
        <v>258</v>
      </c>
      <c r="F7" s="87">
        <v>3.46</v>
      </c>
      <c r="G7" s="134">
        <f>F7*600</f>
        <v>2076</v>
      </c>
      <c r="H7" s="135">
        <f>F7*50</f>
        <v>173</v>
      </c>
    </row>
    <row r="8" spans="1:8" ht="15" customHeight="1" thickBot="1">
      <c r="A8" s="344"/>
      <c r="B8" s="345"/>
      <c r="C8" s="345"/>
      <c r="D8" s="345"/>
      <c r="E8" s="345"/>
      <c r="F8" s="345"/>
      <c r="G8" s="136">
        <f>SUM(G3:G7)</f>
        <v>17137.2</v>
      </c>
      <c r="H8" s="137">
        <f>SUM(H3:H7)</f>
        <v>1428.1</v>
      </c>
    </row>
    <row r="9" spans="1:8" ht="15" customHeight="1" thickBot="1">
      <c r="A9" s="338" t="s">
        <v>160</v>
      </c>
      <c r="B9" s="339"/>
      <c r="C9" s="339"/>
      <c r="D9" s="339"/>
      <c r="E9" s="339"/>
      <c r="F9" s="339"/>
      <c r="G9" s="340"/>
      <c r="H9" s="167">
        <f>H8/5</f>
        <v>285.62</v>
      </c>
    </row>
  </sheetData>
  <mergeCells count="3">
    <mergeCell ref="A9:G9"/>
    <mergeCell ref="A1:H1"/>
    <mergeCell ref="A8:F8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view="pageBreakPreview" zoomScaleSheetLayoutView="100" workbookViewId="0">
      <selection activeCell="I4" sqref="I4"/>
    </sheetView>
  </sheetViews>
  <sheetFormatPr defaultRowHeight="15"/>
  <cols>
    <col min="1" max="1" width="10.7109375" customWidth="1"/>
    <col min="2" max="2" width="80.7109375" customWidth="1"/>
    <col min="3" max="3" width="10.7109375" customWidth="1"/>
    <col min="4" max="4" width="50.7109375" customWidth="1"/>
    <col min="5" max="9" width="15.7109375" customWidth="1"/>
  </cols>
  <sheetData>
    <row r="1" spans="1:9" ht="15" customHeight="1" thickBot="1">
      <c r="A1" s="351" t="s">
        <v>209</v>
      </c>
      <c r="B1" s="352"/>
      <c r="C1" s="352"/>
      <c r="D1" s="352"/>
      <c r="E1" s="352"/>
      <c r="F1" s="352"/>
      <c r="G1" s="352"/>
      <c r="H1" s="352"/>
      <c r="I1" s="353"/>
    </row>
    <row r="2" spans="1:9" ht="30" customHeight="1" thickBot="1">
      <c r="A2" s="105" t="s">
        <v>134</v>
      </c>
      <c r="B2" s="106" t="s">
        <v>203</v>
      </c>
      <c r="C2" s="107" t="s">
        <v>210</v>
      </c>
      <c r="D2" s="107" t="s">
        <v>211</v>
      </c>
      <c r="E2" s="107" t="s">
        <v>212</v>
      </c>
      <c r="F2" s="107" t="s">
        <v>289</v>
      </c>
      <c r="G2" s="107" t="s">
        <v>260</v>
      </c>
      <c r="H2" s="107" t="s">
        <v>261</v>
      </c>
      <c r="I2" s="108" t="s">
        <v>262</v>
      </c>
    </row>
    <row r="3" spans="1:9" ht="15" customHeight="1">
      <c r="A3" s="138">
        <v>1</v>
      </c>
      <c r="B3" s="139" t="s">
        <v>213</v>
      </c>
      <c r="C3" s="140">
        <v>1</v>
      </c>
      <c r="D3" s="141" t="s">
        <v>230</v>
      </c>
      <c r="E3" s="140" t="s">
        <v>245</v>
      </c>
      <c r="F3" s="140">
        <v>60</v>
      </c>
      <c r="G3" s="142">
        <v>2120.8000000000002</v>
      </c>
      <c r="H3" s="143">
        <f t="shared" ref="H3:H8" si="0">G3*C3</f>
        <v>2120.8000000000002</v>
      </c>
      <c r="I3" s="144">
        <f>H3/F3</f>
        <v>35.35</v>
      </c>
    </row>
    <row r="4" spans="1:9" ht="15" customHeight="1">
      <c r="A4" s="145">
        <v>2</v>
      </c>
      <c r="B4" s="146" t="s">
        <v>214</v>
      </c>
      <c r="C4" s="147">
        <v>1</v>
      </c>
      <c r="D4" s="148" t="s">
        <v>230</v>
      </c>
      <c r="E4" s="147" t="s">
        <v>245</v>
      </c>
      <c r="F4" s="147">
        <v>60</v>
      </c>
      <c r="G4" s="101">
        <v>2100</v>
      </c>
      <c r="H4" s="100">
        <f t="shared" si="0"/>
        <v>2100</v>
      </c>
      <c r="I4" s="149">
        <f t="shared" ref="I3:I18" si="1">H4/F4</f>
        <v>35</v>
      </c>
    </row>
    <row r="5" spans="1:9" ht="30" customHeight="1">
      <c r="A5" s="190">
        <v>3</v>
      </c>
      <c r="B5" s="97" t="s">
        <v>215</v>
      </c>
      <c r="C5" s="104">
        <v>1</v>
      </c>
      <c r="D5" s="148" t="s">
        <v>231</v>
      </c>
      <c r="E5" s="147" t="s">
        <v>245</v>
      </c>
      <c r="F5" s="147">
        <v>60</v>
      </c>
      <c r="G5" s="192">
        <v>175</v>
      </c>
      <c r="H5" s="100">
        <f t="shared" si="0"/>
        <v>175</v>
      </c>
      <c r="I5" s="149">
        <f t="shared" si="1"/>
        <v>2.92</v>
      </c>
    </row>
    <row r="6" spans="1:9" ht="15" customHeight="1">
      <c r="A6" s="190">
        <v>4</v>
      </c>
      <c r="B6" s="97" t="s">
        <v>216</v>
      </c>
      <c r="C6" s="104">
        <v>2</v>
      </c>
      <c r="D6" s="201" t="s">
        <v>232</v>
      </c>
      <c r="E6" s="104" t="s">
        <v>246</v>
      </c>
      <c r="F6" s="147">
        <v>60</v>
      </c>
      <c r="G6" s="192">
        <v>428.58</v>
      </c>
      <c r="H6" s="100">
        <f t="shared" si="0"/>
        <v>857.16</v>
      </c>
      <c r="I6" s="149">
        <f t="shared" si="1"/>
        <v>14.29</v>
      </c>
    </row>
    <row r="7" spans="1:9" ht="15" customHeight="1">
      <c r="A7" s="190">
        <v>5</v>
      </c>
      <c r="B7" s="97" t="s">
        <v>217</v>
      </c>
      <c r="C7" s="104">
        <v>1</v>
      </c>
      <c r="D7" s="191" t="s">
        <v>233</v>
      </c>
      <c r="E7" s="104" t="s">
        <v>245</v>
      </c>
      <c r="F7" s="147">
        <v>60</v>
      </c>
      <c r="G7" s="192">
        <v>739.82</v>
      </c>
      <c r="H7" s="100">
        <f t="shared" si="0"/>
        <v>739.82</v>
      </c>
      <c r="I7" s="149">
        <f t="shared" si="1"/>
        <v>12.33</v>
      </c>
    </row>
    <row r="8" spans="1:9" ht="45" customHeight="1">
      <c r="A8" s="190">
        <v>6</v>
      </c>
      <c r="B8" s="97" t="s">
        <v>218</v>
      </c>
      <c r="C8" s="104">
        <v>1</v>
      </c>
      <c r="D8" s="191" t="s">
        <v>235</v>
      </c>
      <c r="E8" s="104" t="s">
        <v>247</v>
      </c>
      <c r="F8" s="147">
        <v>60</v>
      </c>
      <c r="G8" s="192">
        <v>4475</v>
      </c>
      <c r="H8" s="100">
        <f t="shared" si="0"/>
        <v>4475</v>
      </c>
      <c r="I8" s="149">
        <f t="shared" si="1"/>
        <v>74.58</v>
      </c>
    </row>
    <row r="9" spans="1:9" ht="30" customHeight="1">
      <c r="A9" s="190">
        <v>7</v>
      </c>
      <c r="B9" s="97" t="s">
        <v>219</v>
      </c>
      <c r="C9" s="104" t="s">
        <v>229</v>
      </c>
      <c r="D9" s="191" t="s">
        <v>234</v>
      </c>
      <c r="E9" s="104" t="s">
        <v>245</v>
      </c>
      <c r="F9" s="104">
        <v>60</v>
      </c>
      <c r="G9" s="192">
        <v>373</v>
      </c>
      <c r="H9" s="206">
        <f>G9*1</f>
        <v>373</v>
      </c>
      <c r="I9" s="61">
        <f t="shared" si="1"/>
        <v>6.22</v>
      </c>
    </row>
    <row r="10" spans="1:9" ht="15" customHeight="1">
      <c r="A10" s="190">
        <v>8</v>
      </c>
      <c r="B10" s="97" t="s">
        <v>220</v>
      </c>
      <c r="C10" s="104">
        <v>1</v>
      </c>
      <c r="D10" s="191" t="s">
        <v>236</v>
      </c>
      <c r="E10" s="104" t="s">
        <v>245</v>
      </c>
      <c r="F10" s="104">
        <v>60</v>
      </c>
      <c r="G10" s="192">
        <v>285</v>
      </c>
      <c r="H10" s="206">
        <f t="shared" ref="H10:H18" si="2">G10*C10</f>
        <v>285</v>
      </c>
      <c r="I10" s="61">
        <f t="shared" si="1"/>
        <v>4.75</v>
      </c>
    </row>
    <row r="11" spans="1:9" ht="15" customHeight="1">
      <c r="A11" s="190">
        <v>9</v>
      </c>
      <c r="B11" s="97" t="s">
        <v>221</v>
      </c>
      <c r="C11" s="104">
        <v>1</v>
      </c>
      <c r="D11" s="191" t="s">
        <v>237</v>
      </c>
      <c r="E11" s="104" t="s">
        <v>245</v>
      </c>
      <c r="F11" s="147">
        <v>60</v>
      </c>
      <c r="G11" s="192">
        <v>2218.42</v>
      </c>
      <c r="H11" s="100">
        <f t="shared" si="2"/>
        <v>2218.42</v>
      </c>
      <c r="I11" s="149">
        <f t="shared" si="1"/>
        <v>36.97</v>
      </c>
    </row>
    <row r="12" spans="1:9" ht="15" customHeight="1">
      <c r="A12" s="145">
        <v>10</v>
      </c>
      <c r="B12" s="146" t="s">
        <v>222</v>
      </c>
      <c r="C12" s="147">
        <v>1</v>
      </c>
      <c r="D12" s="148" t="s">
        <v>238</v>
      </c>
      <c r="E12" s="147" t="s">
        <v>247</v>
      </c>
      <c r="F12" s="147">
        <v>60</v>
      </c>
      <c r="G12" s="192">
        <v>2218.42</v>
      </c>
      <c r="H12" s="100">
        <f t="shared" si="2"/>
        <v>2218.42</v>
      </c>
      <c r="I12" s="149">
        <f t="shared" si="1"/>
        <v>36.97</v>
      </c>
    </row>
    <row r="13" spans="1:9" ht="15" customHeight="1">
      <c r="A13" s="190">
        <v>11</v>
      </c>
      <c r="B13" s="97" t="s">
        <v>223</v>
      </c>
      <c r="C13" s="104">
        <v>5</v>
      </c>
      <c r="D13" s="191" t="s">
        <v>239</v>
      </c>
      <c r="E13" s="104" t="s">
        <v>248</v>
      </c>
      <c r="F13" s="104">
        <v>60</v>
      </c>
      <c r="G13" s="192">
        <v>195.87</v>
      </c>
      <c r="H13" s="206">
        <f t="shared" si="2"/>
        <v>979.35</v>
      </c>
      <c r="I13" s="61">
        <f t="shared" si="1"/>
        <v>16.32</v>
      </c>
    </row>
    <row r="14" spans="1:9" ht="15" customHeight="1">
      <c r="A14" s="190">
        <v>12</v>
      </c>
      <c r="B14" s="97" t="s">
        <v>224</v>
      </c>
      <c r="C14" s="104">
        <v>1</v>
      </c>
      <c r="D14" s="202" t="s">
        <v>240</v>
      </c>
      <c r="E14" s="104" t="s">
        <v>247</v>
      </c>
      <c r="F14" s="147">
        <v>60</v>
      </c>
      <c r="G14" s="192">
        <v>259.49</v>
      </c>
      <c r="H14" s="100">
        <f t="shared" si="2"/>
        <v>259.49</v>
      </c>
      <c r="I14" s="149">
        <f t="shared" si="1"/>
        <v>4.32</v>
      </c>
    </row>
    <row r="15" spans="1:9" ht="15" customHeight="1">
      <c r="A15" s="190">
        <v>13</v>
      </c>
      <c r="B15" s="97" t="s">
        <v>225</v>
      </c>
      <c r="C15" s="104">
        <v>1</v>
      </c>
      <c r="D15" s="202" t="s">
        <v>241</v>
      </c>
      <c r="E15" s="104" t="s">
        <v>245</v>
      </c>
      <c r="F15" s="147">
        <v>60</v>
      </c>
      <c r="G15" s="192">
        <v>302.91000000000003</v>
      </c>
      <c r="H15" s="100">
        <f t="shared" si="2"/>
        <v>302.91000000000003</v>
      </c>
      <c r="I15" s="149">
        <f t="shared" si="1"/>
        <v>5.05</v>
      </c>
    </row>
    <row r="16" spans="1:9" ht="30" customHeight="1">
      <c r="A16" s="190">
        <v>14</v>
      </c>
      <c r="B16" s="97" t="s">
        <v>226</v>
      </c>
      <c r="C16" s="104">
        <v>1</v>
      </c>
      <c r="D16" s="191" t="s">
        <v>242</v>
      </c>
      <c r="E16" s="104" t="s">
        <v>245</v>
      </c>
      <c r="F16" s="147">
        <v>60</v>
      </c>
      <c r="G16" s="192">
        <v>1450</v>
      </c>
      <c r="H16" s="100">
        <f t="shared" si="2"/>
        <v>1450</v>
      </c>
      <c r="I16" s="149">
        <f t="shared" si="1"/>
        <v>24.17</v>
      </c>
    </row>
    <row r="17" spans="1:9" ht="30" customHeight="1">
      <c r="A17" s="190">
        <v>15</v>
      </c>
      <c r="B17" s="97" t="s">
        <v>227</v>
      </c>
      <c r="C17" s="104">
        <v>2</v>
      </c>
      <c r="D17" s="191" t="s">
        <v>243</v>
      </c>
      <c r="E17" s="104" t="s">
        <v>247</v>
      </c>
      <c r="F17" s="147">
        <v>60</v>
      </c>
      <c r="G17" s="192">
        <v>909.7</v>
      </c>
      <c r="H17" s="100">
        <f t="shared" si="2"/>
        <v>1819.4</v>
      </c>
      <c r="I17" s="149">
        <f t="shared" si="1"/>
        <v>30.32</v>
      </c>
    </row>
    <row r="18" spans="1:9" ht="15" customHeight="1" thickBot="1">
      <c r="A18" s="193">
        <v>16</v>
      </c>
      <c r="B18" s="194" t="s">
        <v>228</v>
      </c>
      <c r="C18" s="195">
        <v>2</v>
      </c>
      <c r="D18" s="196" t="s">
        <v>244</v>
      </c>
      <c r="E18" s="195" t="s">
        <v>246</v>
      </c>
      <c r="F18" s="197">
        <v>60</v>
      </c>
      <c r="G18" s="198">
        <v>909.7</v>
      </c>
      <c r="H18" s="199">
        <f t="shared" si="2"/>
        <v>1819.4</v>
      </c>
      <c r="I18" s="200">
        <f t="shared" si="1"/>
        <v>30.32</v>
      </c>
    </row>
    <row r="19" spans="1:9" ht="15" customHeight="1" thickBot="1">
      <c r="A19" s="348"/>
      <c r="B19" s="349"/>
      <c r="C19" s="349"/>
      <c r="D19" s="349"/>
      <c r="E19" s="349"/>
      <c r="F19" s="349"/>
      <c r="G19" s="350"/>
      <c r="H19" s="150">
        <f>SUM(H3:H18)</f>
        <v>22193.17</v>
      </c>
      <c r="I19" s="96">
        <f>SUM(I3:I18)</f>
        <v>369.88</v>
      </c>
    </row>
    <row r="20" spans="1:9" ht="15" customHeight="1" thickBot="1">
      <c r="A20" s="346" t="s">
        <v>160</v>
      </c>
      <c r="B20" s="347"/>
      <c r="C20" s="347"/>
      <c r="D20" s="347"/>
      <c r="E20" s="347"/>
      <c r="F20" s="347"/>
      <c r="G20" s="347"/>
      <c r="H20" s="347"/>
      <c r="I20" s="167">
        <f>I19/5</f>
        <v>73.98</v>
      </c>
    </row>
  </sheetData>
  <mergeCells count="3">
    <mergeCell ref="A20:H20"/>
    <mergeCell ref="A19:G19"/>
    <mergeCell ref="A1:I1"/>
  </mergeCells>
  <pageMargins left="0.511811024" right="0.511811024" top="0.78740157499999996" bottom="0.78740157499999996" header="0.31496062000000002" footer="0.31496062000000002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Plan2</vt:lpstr>
      <vt:lpstr>Plan3</vt:lpstr>
      <vt:lpstr>Consolidação</vt:lpstr>
      <vt:lpstr>Auxiliar de Lavanderia</vt:lpstr>
      <vt:lpstr>Costureira </vt:lpstr>
      <vt:lpstr>Uniformes </vt:lpstr>
      <vt:lpstr>Materiais</vt:lpstr>
      <vt:lpstr>Equipamentos</vt:lpstr>
      <vt:lpstr>'Auxiliar de Lavanderia'!Area_de_impressao</vt:lpstr>
      <vt:lpstr>'Costureira '!Area_de_impressao</vt:lpstr>
      <vt:lpstr>Equipamentos!Area_de_impressao</vt:lpstr>
      <vt:lpstr>Materiais!Area_de_impressao</vt:lpstr>
      <vt:lpstr>'Uniformes '!Area_de_impressao</vt:lpstr>
      <vt:lpstr>'Auxiliar de Lavanderia'!Titulos_de_impressao</vt:lpstr>
      <vt:lpstr>'Costureira 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64924076287</cp:lastModifiedBy>
  <cp:lastPrinted>2025-04-04T12:38:22Z</cp:lastPrinted>
  <dcterms:created xsi:type="dcterms:W3CDTF">2014-04-11T01:53:38Z</dcterms:created>
  <dcterms:modified xsi:type="dcterms:W3CDTF">2025-04-08T16:00:23Z</dcterms:modified>
</cp:coreProperties>
</file>